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autoCompressPictures="0" defaultThemeVersion="124226"/>
  <mc:AlternateContent xmlns:mc="http://schemas.openxmlformats.org/markup-compatibility/2006">
    <mc:Choice Requires="x15">
      <x15ac:absPath xmlns:x15ac="http://schemas.microsoft.com/office/spreadsheetml/2010/11/ac" url="C:\Users\jparker\SharePoint\Global Logistics - Documents\_Merchandising and Sourcing\IPDS\IPDS CURRENT Versions\"/>
    </mc:Choice>
  </mc:AlternateContent>
  <bookViews>
    <workbookView xWindow="0" yWindow="0" windowWidth="28800" windowHeight="11535" tabRatio="842" activeTab="1" xr2:uid="{00000000-000D-0000-FFFF-FFFF00000000}"/>
  </bookViews>
  <sheets>
    <sheet name="IPDS Instructions" sheetId="7" r:id="rId1"/>
    <sheet name="1-Import Product Data Sheet" sheetId="1" r:id="rId2"/>
    <sheet name="2-Article Cost Breakdown" sheetId="14" r:id="rId3"/>
    <sheet name="3-Combo Article Breakdown" sheetId="15" r:id="rId4"/>
    <sheet name="4-Features &amp; Benefits" sheetId="9" r:id="rId5"/>
    <sheet name="5-Food" sheetId="10" r:id="rId6"/>
    <sheet name="6-Food Labeling Guide" sheetId="13" r:id="rId7"/>
    <sheet name="7-PDQ Instructions" sheetId="12" r:id="rId8"/>
  </sheets>
  <definedNames>
    <definedName name="_xlnm._FilterDatabase" localSheetId="1" hidden="1">'1-Import Product Data Sheet'!$R$1:$AD$105</definedName>
    <definedName name="_xlnm._FilterDatabase" localSheetId="4" hidden="1">'4-Features &amp; Benefits'!$K$23:$O$295</definedName>
    <definedName name="Brand">'1-Import Product Data Sheet'!$BD$2:$BD$24</definedName>
    <definedName name="Brand_Vend_List">'1-Import Product Data Sheet'!$AO:$AP</definedName>
    <definedName name="Brand_Vend_Value">'1-Import Product Data Sheet'!$AQ$1</definedName>
    <definedName name="Carton_Cube">'1-Import Product Data Sheet'!$F$23</definedName>
    <definedName name="CFSRate">'1-Import Product Data Sheet'!$W$2</definedName>
    <definedName name="Combo">'1-Import Product Data Sheet'!$AJ$13</definedName>
    <definedName name="Conv_Ratio">'1-Import Product Data Sheet'!$AZ$2</definedName>
    <definedName name="Curr_Selected">'1-Import Product Data Sheet'!$AY$2</definedName>
    <definedName name="Currency">'1-Import Product Data Sheet'!$AW$2:$AW$6</definedName>
    <definedName name="DCL20Rate">'1-Import Product Data Sheet'!$Y$2</definedName>
    <definedName name="DCL40Rate">'1-Import Product Data Sheet'!$X$2</definedName>
    <definedName name="Dept_Num">'1-Import Product Data Sheet'!$A$3</definedName>
    <definedName name="DeptExcept">'1-Import Product Data Sheet'!$AD$2</definedName>
    <definedName name="DeptExceptRateDiff" localSheetId="2">'1-Import Product Data Sheet'!#REF!</definedName>
    <definedName name="DeptExceptRateDiff" localSheetId="3">'1-Import Product Data Sheet'!#REF!</definedName>
    <definedName name="DeptExceptRateDiff">'1-Import Product Data Sheet'!#REF!</definedName>
    <definedName name="DeptExcepts">'1-Import Product Data Sheet'!$AK$1:$AK$9</definedName>
    <definedName name="DeptExceptsTF">'1-Import Product Data Sheet'!$AJ$21</definedName>
    <definedName name="DetDesc">'1-Import Product Data Sheet'!$B$17</definedName>
    <definedName name="DetDesc1">'1-Import Product Data Sheet'!$B$17</definedName>
    <definedName name="Disc_Frt_Rate">'1-Import Product Data Sheet'!$AH$21</definedName>
    <definedName name="FCL20Rate">'1-Import Product Data Sheet'!$V$2</definedName>
    <definedName name="FCL40Rate">'1-Import Product Data Sheet'!$U$2</definedName>
    <definedName name="FOBCostPerPiece">'1-Import Product Data Sheet'!$F$26</definedName>
    <definedName name="FoodImpact">'1-Import Product Data Sheet'!$AH$22</definedName>
    <definedName name="FoodRate">'1-Import Product Data Sheet'!$AC$2</definedName>
    <definedName name="FoodSeq">'1-Import Product Data Sheet'!$AJ$17</definedName>
    <definedName name="Freight_Rate">'1-Import Product Data Sheet'!$AH$18</definedName>
    <definedName name="FreightRatePerCFT">'1-Import Product Data Sheet'!$B$28</definedName>
    <definedName name="Innr_Pk">'1-Import Product Data Sheet'!$E$23</definedName>
    <definedName name="Mstr_Pk">'1-Import Product Data Sheet'!$D$23</definedName>
    <definedName name="Mstr_Wt_kg">'1-Import Product Data Sheet'!$N$10</definedName>
    <definedName name="Mstr_Wt_lb">'1-Import Product Data Sheet'!$K$10</definedName>
    <definedName name="PackageType">'1-Import Product Data Sheet'!$BB$2:$BB$49</definedName>
    <definedName name="Pallet_Ship">'1-Import Product Data Sheet'!$AJ$19</definedName>
    <definedName name="PalletsPerContainer">'1-Import Product Data Sheet'!$H$23</definedName>
    <definedName name="Payment_Terms">'1-Import Product Data Sheet'!$AS$1:$AS$9</definedName>
    <definedName name="PDQList">'1-Import Product Data Sheet'!$AM$2:$AM$60</definedName>
    <definedName name="PiecesPerPallet">'1-Import Product Data Sheet'!$G$23</definedName>
    <definedName name="Port">'1-Import Product Data Sheet'!$T$2</definedName>
    <definedName name="PortSeq">'1-Import Product Data Sheet'!$AJ$15</definedName>
    <definedName name="PortSeqLCL" localSheetId="2">'1-Import Product Data Sheet'!#REF!</definedName>
    <definedName name="PortSeqLCL" localSheetId="3">'1-Import Product Data Sheet'!#REF!</definedName>
    <definedName name="PortSeqLCL">'1-Import Product Data Sheet'!#REF!</definedName>
    <definedName name="PrevBuy">'1-Import Product Data Sheet'!$AM$53</definedName>
    <definedName name="_xlnm.Print_Area" localSheetId="1">'1-Import Product Data Sheet'!$A$1:$P$45</definedName>
    <definedName name="_xlnm.Print_Area" localSheetId="4">'4-Features &amp; Benefits'!#REF!</definedName>
    <definedName name="Rate_Table">'1-Import Product Data Sheet'!$R:$AA</definedName>
    <definedName name="Rate_Type">'1-Import Product Data Sheet'!$AG$2:$AG$5</definedName>
    <definedName name="RateSeq">'1-Import Product Data Sheet'!$AJ$16</definedName>
    <definedName name="ReeferDCL40Rate">'1-Import Product Data Sheet'!$AA$2</definedName>
    <definedName name="ReeferDirect40Rate">'1-Import Product Data Sheet'!$Z$2</definedName>
    <definedName name="Region">'1-Import Product Data Sheet'!$S$2</definedName>
    <definedName name="RevFreightPerCFT">'1-Import Product Data Sheet'!$AH$23</definedName>
    <definedName name="Vendor_Num">'1-Import Product Data Sheet'!$B$6</definedName>
    <definedName name="Yes_No">'1-Import Product Data Sheet'!$AU$1:$AU$3</definedName>
  </definedNames>
  <calcPr calcId="171027"/>
</workbook>
</file>

<file path=xl/calcChain.xml><?xml version="1.0" encoding="utf-8"?>
<calcChain xmlns="http://schemas.openxmlformats.org/spreadsheetml/2006/main">
  <c r="K284" i="9" l="1"/>
  <c r="K277" i="9"/>
  <c r="K252" i="9"/>
  <c r="K222" i="9"/>
  <c r="K189" i="9"/>
  <c r="K55" i="9"/>
  <c r="K24" i="9" l="1"/>
  <c r="K31" i="9"/>
  <c r="K32" i="9"/>
  <c r="K33" i="9"/>
  <c r="K34" i="9"/>
  <c r="K35" i="9"/>
  <c r="K36" i="9"/>
  <c r="K37" i="9"/>
  <c r="K38" i="9"/>
  <c r="K39" i="9"/>
  <c r="K40" i="9"/>
  <c r="K41" i="9"/>
  <c r="K42" i="9"/>
  <c r="K43" i="9"/>
  <c r="K44" i="9"/>
  <c r="K45" i="9"/>
  <c r="K46" i="9"/>
  <c r="K47" i="9"/>
  <c r="K48" i="9"/>
  <c r="K49" i="9"/>
  <c r="K50" i="9"/>
  <c r="K51" i="9"/>
  <c r="K52" i="9"/>
  <c r="K53" i="9"/>
  <c r="K54"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5" i="9"/>
  <c r="K176" i="9"/>
  <c r="K177" i="9"/>
  <c r="K178" i="9"/>
  <c r="K179" i="9"/>
  <c r="K180" i="9"/>
  <c r="K181" i="9"/>
  <c r="K182" i="9"/>
  <c r="K183" i="9"/>
  <c r="K184" i="9"/>
  <c r="K185" i="9"/>
  <c r="K186" i="9"/>
  <c r="K187" i="9"/>
  <c r="K188"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220" i="9"/>
  <c r="K221" i="9"/>
  <c r="K223" i="9"/>
  <c r="K224" i="9"/>
  <c r="K225" i="9"/>
  <c r="K226" i="9"/>
  <c r="K227" i="9"/>
  <c r="K228" i="9"/>
  <c r="K229" i="9"/>
  <c r="K230" i="9"/>
  <c r="K231" i="9"/>
  <c r="K232" i="9"/>
  <c r="K233" i="9"/>
  <c r="K234" i="9"/>
  <c r="K235" i="9"/>
  <c r="K236" i="9"/>
  <c r="K237" i="9"/>
  <c r="K238" i="9"/>
  <c r="K239" i="9"/>
  <c r="K240" i="9"/>
  <c r="K241" i="9"/>
  <c r="K242" i="9"/>
  <c r="K243" i="9"/>
  <c r="K244" i="9"/>
  <c r="K245" i="9"/>
  <c r="K246" i="9"/>
  <c r="K247" i="9"/>
  <c r="K248" i="9"/>
  <c r="K249" i="9"/>
  <c r="K250" i="9"/>
  <c r="K251" i="9"/>
  <c r="K253" i="9"/>
  <c r="K254" i="9"/>
  <c r="K255" i="9"/>
  <c r="K256" i="9"/>
  <c r="K257" i="9"/>
  <c r="K258" i="9"/>
  <c r="K259" i="9"/>
  <c r="K260" i="9"/>
  <c r="K261" i="9"/>
  <c r="K262" i="9"/>
  <c r="K263" i="9"/>
  <c r="K264" i="9"/>
  <c r="K265" i="9"/>
  <c r="K266" i="9"/>
  <c r="K267" i="9"/>
  <c r="K268" i="9"/>
  <c r="K269" i="9"/>
  <c r="K270" i="9"/>
  <c r="K271" i="9"/>
  <c r="K272" i="9"/>
  <c r="K273" i="9"/>
  <c r="K274" i="9"/>
  <c r="K275" i="9"/>
  <c r="K276" i="9"/>
  <c r="K278" i="9"/>
  <c r="K279" i="9"/>
  <c r="K280" i="9"/>
  <c r="K281" i="9"/>
  <c r="K282" i="9"/>
  <c r="K283" i="9"/>
  <c r="K285" i="9"/>
  <c r="K286" i="9"/>
  <c r="K287" i="9"/>
  <c r="K288" i="9"/>
  <c r="K289" i="9"/>
  <c r="K290" i="9"/>
  <c r="K291" i="9"/>
  <c r="K292" i="9"/>
  <c r="K293" i="9"/>
  <c r="K294" i="9"/>
  <c r="K295" i="9"/>
  <c r="G137" i="9"/>
  <c r="G138" i="9"/>
  <c r="G139" i="9"/>
  <c r="G140" i="9"/>
  <c r="G141" i="9"/>
  <c r="G142" i="9"/>
  <c r="G143" i="9"/>
  <c r="G144" i="9"/>
  <c r="G145" i="9"/>
  <c r="G146" i="9"/>
  <c r="G147" i="9"/>
  <c r="G148" i="9"/>
  <c r="G149" i="9"/>
  <c r="G150" i="9"/>
  <c r="G151" i="9"/>
  <c r="G152" i="9"/>
  <c r="G153" i="9"/>
  <c r="G154" i="9"/>
  <c r="G155" i="9"/>
  <c r="G156" i="9"/>
  <c r="G157"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K26" i="9" l="1"/>
  <c r="K27" i="9"/>
  <c r="K28" i="9"/>
  <c r="K29" i="9"/>
  <c r="K30" i="9"/>
  <c r="K25"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24" i="9"/>
  <c r="I52" i="9" l="1"/>
  <c r="I48" i="9"/>
  <c r="I40" i="9"/>
  <c r="I32" i="9"/>
  <c r="I44" i="9"/>
  <c r="I36" i="9"/>
  <c r="I28" i="9"/>
  <c r="I134" i="9"/>
  <c r="I135" i="9"/>
  <c r="I119" i="9"/>
  <c r="I103" i="9"/>
  <c r="I87" i="9"/>
  <c r="I71" i="9"/>
  <c r="I55" i="9"/>
  <c r="I144" i="9"/>
  <c r="I126" i="9"/>
  <c r="I62" i="9"/>
  <c r="I147" i="9"/>
  <c r="I133" i="9"/>
  <c r="I101" i="9"/>
  <c r="I69" i="9"/>
  <c r="I114" i="9"/>
  <c r="I82" i="9"/>
  <c r="I118" i="9"/>
  <c r="I132" i="9"/>
  <c r="I116" i="9"/>
  <c r="I100" i="9"/>
  <c r="I84" i="9"/>
  <c r="I68" i="9"/>
  <c r="I157" i="9"/>
  <c r="I141" i="9"/>
  <c r="I129" i="9"/>
  <c r="I97" i="9"/>
  <c r="I65" i="9"/>
  <c r="I53" i="9"/>
  <c r="I131" i="9"/>
  <c r="I115" i="9"/>
  <c r="I99" i="9"/>
  <c r="I83" i="9"/>
  <c r="I67" i="9"/>
  <c r="I156" i="9"/>
  <c r="I140" i="9"/>
  <c r="I102" i="9"/>
  <c r="I54" i="9"/>
  <c r="I143" i="9"/>
  <c r="I125" i="9"/>
  <c r="I93" i="9"/>
  <c r="I142" i="9"/>
  <c r="I106" i="9"/>
  <c r="I74" i="9"/>
  <c r="I110" i="9"/>
  <c r="I128" i="9"/>
  <c r="I112" i="9"/>
  <c r="I96" i="9"/>
  <c r="I80" i="9"/>
  <c r="I64" i="9"/>
  <c r="I153" i="9"/>
  <c r="I137" i="9"/>
  <c r="I121" i="9"/>
  <c r="I89" i="9"/>
  <c r="I61" i="9"/>
  <c r="I127" i="9"/>
  <c r="I111" i="9"/>
  <c r="I95" i="9"/>
  <c r="I79" i="9"/>
  <c r="I63" i="9"/>
  <c r="I152" i="9"/>
  <c r="I86" i="9"/>
  <c r="I78" i="9"/>
  <c r="I155" i="9"/>
  <c r="I139" i="9"/>
  <c r="I117" i="9"/>
  <c r="I85" i="9"/>
  <c r="I130" i="9"/>
  <c r="I98" i="9"/>
  <c r="I66" i="9"/>
  <c r="I94" i="9"/>
  <c r="I124" i="9"/>
  <c r="I105" i="9"/>
  <c r="I145" i="9"/>
  <c r="I72" i="9"/>
  <c r="I104" i="9"/>
  <c r="I58" i="9"/>
  <c r="I109" i="9"/>
  <c r="I150" i="9"/>
  <c r="I91" i="9"/>
  <c r="I113" i="9"/>
  <c r="I149" i="9"/>
  <c r="I76" i="9"/>
  <c r="I108" i="9"/>
  <c r="I90" i="9"/>
  <c r="I146" i="9"/>
  <c r="I148" i="9"/>
  <c r="I107" i="9"/>
  <c r="I73" i="9"/>
  <c r="I138" i="9"/>
  <c r="I56" i="9"/>
  <c r="I88" i="9"/>
  <c r="I120" i="9"/>
  <c r="I122" i="9"/>
  <c r="I151" i="9"/>
  <c r="I59" i="9"/>
  <c r="I123" i="9"/>
  <c r="I24" i="9"/>
  <c r="I49" i="9"/>
  <c r="I45" i="9"/>
  <c r="I41" i="9"/>
  <c r="I37" i="9"/>
  <c r="I33" i="9"/>
  <c r="I29" i="9"/>
  <c r="I25" i="9"/>
  <c r="I81" i="9"/>
  <c r="I154" i="9"/>
  <c r="I60" i="9"/>
  <c r="I92" i="9"/>
  <c r="I136" i="9"/>
  <c r="I77" i="9"/>
  <c r="I70" i="9"/>
  <c r="I75" i="9"/>
  <c r="I57" i="9"/>
  <c r="I51" i="9"/>
  <c r="I47" i="9"/>
  <c r="I43" i="9"/>
  <c r="I39" i="9"/>
  <c r="I35" i="9"/>
  <c r="I31" i="9"/>
  <c r="I27" i="9"/>
  <c r="I50" i="9"/>
  <c r="I46" i="9"/>
  <c r="I42" i="9"/>
  <c r="I38" i="9"/>
  <c r="I34" i="9"/>
  <c r="I30" i="9"/>
  <c r="I26" i="9"/>
  <c r="AX6" i="1"/>
  <c r="AH21" i="1" l="1"/>
  <c r="L15" i="15" l="1"/>
  <c r="L16" i="15"/>
  <c r="L17" i="15"/>
  <c r="L18" i="15"/>
  <c r="L19" i="15"/>
  <c r="L20" i="15"/>
  <c r="L21" i="15"/>
  <c r="L22" i="15"/>
  <c r="L23" i="15"/>
  <c r="L24" i="15"/>
  <c r="L25" i="15"/>
  <c r="L26" i="15"/>
  <c r="L27" i="15"/>
  <c r="L28" i="15"/>
  <c r="I8" i="15"/>
  <c r="D8" i="15"/>
  <c r="C8" i="15"/>
  <c r="AH26" i="1"/>
  <c r="E8" i="15"/>
  <c r="B8" i="15"/>
  <c r="A8" i="15"/>
  <c r="A8" i="14"/>
  <c r="AJ27" i="1"/>
  <c r="AJ25" i="1"/>
  <c r="F36" i="1"/>
  <c r="AI33" i="1"/>
  <c r="AJ39" i="1" s="1"/>
  <c r="F23" i="1"/>
  <c r="AI49" i="1" s="1"/>
  <c r="AI22" i="1"/>
  <c r="AJ21" i="1"/>
  <c r="AH17" i="1"/>
  <c r="C6" i="1"/>
  <c r="AZ2" i="1"/>
  <c r="F26" i="1" s="1"/>
  <c r="R2" i="1"/>
  <c r="Y2" i="1" s="1"/>
  <c r="AG6" i="1" s="1"/>
  <c r="AQ1" i="1"/>
  <c r="AH19" i="1"/>
  <c r="C41" i="1"/>
  <c r="S2" i="1"/>
  <c r="AJ22" i="1" s="1"/>
  <c r="C37" i="1"/>
  <c r="C39" i="1"/>
  <c r="C40" i="1"/>
  <c r="C36" i="1"/>
  <c r="C38" i="1"/>
  <c r="E29" i="1"/>
  <c r="L14" i="15"/>
  <c r="AJ41" i="1" l="1"/>
  <c r="AJ37" i="1"/>
  <c r="AJ38" i="1"/>
  <c r="AB2" i="1"/>
  <c r="AS10" i="1" s="1"/>
  <c r="AS6" i="1" s="1"/>
  <c r="AJ40" i="1"/>
  <c r="AJ42" i="1"/>
  <c r="H8" i="15"/>
  <c r="E32" i="1"/>
  <c r="AK49" i="1"/>
  <c r="B39" i="1" s="1"/>
  <c r="AJ49" i="1"/>
  <c r="X2" i="1"/>
  <c r="AG5" i="1" s="1"/>
  <c r="AI50" i="1"/>
  <c r="AI51" i="1"/>
  <c r="AH22" i="1"/>
  <c r="AI48" i="1"/>
  <c r="AH25" i="1"/>
  <c r="W2" i="1"/>
  <c r="AG4" i="1" s="1"/>
  <c r="AI46" i="1"/>
  <c r="AI47" i="1"/>
  <c r="AA2" i="1"/>
  <c r="AG8" i="1" s="1"/>
  <c r="AJ26" i="1"/>
  <c r="AJ28" i="1" s="1"/>
  <c r="E27" i="1"/>
  <c r="E30" i="1" s="1"/>
  <c r="E31" i="1"/>
  <c r="T2" i="1"/>
  <c r="AH15" i="1" s="1"/>
  <c r="AD2" i="1"/>
  <c r="U2" i="1"/>
  <c r="V2" i="1"/>
  <c r="AG3" i="1" s="1"/>
  <c r="Z2" i="1"/>
  <c r="AG7" i="1" s="1"/>
  <c r="AC2" i="1"/>
  <c r="AK50" i="1" l="1"/>
  <c r="B40" i="1" s="1"/>
  <c r="AJ50" i="1"/>
  <c r="AK46" i="1"/>
  <c r="B36" i="1" s="1"/>
  <c r="AJ46" i="1"/>
  <c r="AK51" i="1"/>
  <c r="B41" i="1" s="1"/>
  <c r="AJ51" i="1"/>
  <c r="AJ47" i="1"/>
  <c r="AK47" i="1"/>
  <c r="B37" i="1" s="1"/>
  <c r="AK48" i="1"/>
  <c r="B38" i="1" s="1"/>
  <c r="AJ48" i="1"/>
  <c r="F33" i="1"/>
  <c r="F34" i="1" s="1"/>
  <c r="AG2" i="1"/>
  <c r="AH16" i="1" s="1"/>
  <c r="AH18" i="1"/>
  <c r="AH20" i="1" s="1"/>
  <c r="AH23" i="1" l="1"/>
  <c r="B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Parker, Jameson</author>
  </authors>
  <commentList>
    <comment ref="AK4" authorId="0" shapeId="0" xr:uid="{00000000-0006-0000-0100-000001000000}">
      <text>
        <r>
          <rPr>
            <b/>
            <sz val="9"/>
            <color indexed="81"/>
            <rFont val="Tahoma"/>
            <family val="2"/>
          </rPr>
          <t>$.14 per CFT - formula in Dept Exception below</t>
        </r>
        <r>
          <rPr>
            <sz val="9"/>
            <color indexed="81"/>
            <rFont val="Tahoma"/>
            <family val="2"/>
          </rPr>
          <t xml:space="preserve">
</t>
        </r>
      </text>
    </comment>
    <comment ref="AK5" authorId="0" shapeId="0" xr:uid="{00000000-0006-0000-0100-000002000000}">
      <text>
        <r>
          <rPr>
            <b/>
            <sz val="9"/>
            <color indexed="81"/>
            <rFont val="Tahoma"/>
            <family val="2"/>
          </rPr>
          <t>$.14 per CFT - formula in Dept Exception below</t>
        </r>
        <r>
          <rPr>
            <sz val="9"/>
            <color indexed="81"/>
            <rFont val="Tahoma"/>
            <family val="2"/>
          </rPr>
          <t xml:space="preserve">
</t>
        </r>
      </text>
    </comment>
    <comment ref="AK6" authorId="0" shapeId="0" xr:uid="{00000000-0006-0000-0100-000003000000}">
      <text>
        <r>
          <rPr>
            <b/>
            <sz val="9"/>
            <color indexed="81"/>
            <rFont val="Tahoma"/>
            <family val="2"/>
          </rPr>
          <t>$.14 per CFT - formula in Dept Exception below</t>
        </r>
        <r>
          <rPr>
            <sz val="9"/>
            <color indexed="81"/>
            <rFont val="Tahoma"/>
            <family val="2"/>
          </rPr>
          <t xml:space="preserve">
</t>
        </r>
      </text>
    </comment>
    <comment ref="AK7" authorId="0" shapeId="0" xr:uid="{00000000-0006-0000-0100-000004000000}">
      <text>
        <r>
          <rPr>
            <b/>
            <sz val="9"/>
            <color indexed="81"/>
            <rFont val="Tahoma"/>
            <family val="2"/>
          </rPr>
          <t>$.14 per CFT - formula in Dept Exception below</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Parker, Jameson</author>
  </authors>
  <commentList>
    <comment ref="L13" authorId="0" shapeId="0" xr:uid="{00000000-0006-0000-0300-000001000000}">
      <text>
        <r>
          <rPr>
            <b/>
            <sz val="9"/>
            <color indexed="81"/>
            <rFont val="Tahoma"/>
            <family val="2"/>
          </rPr>
          <t>Based on Component Quantity</t>
        </r>
        <r>
          <rPr>
            <sz val="9"/>
            <color indexed="81"/>
            <rFont val="Tahoma"/>
            <family val="2"/>
          </rPr>
          <t xml:space="preserve">
</t>
        </r>
      </text>
    </comment>
  </commentList>
</comments>
</file>

<file path=xl/sharedStrings.xml><?xml version="1.0" encoding="utf-8"?>
<sst xmlns="http://schemas.openxmlformats.org/spreadsheetml/2006/main" count="1804" uniqueCount="1006">
  <si>
    <t>Department</t>
  </si>
  <si>
    <t>Buyer</t>
  </si>
  <si>
    <t>Country of Origin</t>
  </si>
  <si>
    <t>FOB Point</t>
  </si>
  <si>
    <t>UPC #</t>
  </si>
  <si>
    <t>Duty %</t>
  </si>
  <si>
    <t>Duty</t>
  </si>
  <si>
    <t>Freight</t>
  </si>
  <si>
    <t>Estimated Landed Cost</t>
  </si>
  <si>
    <t>Material</t>
  </si>
  <si>
    <t>Cost</t>
  </si>
  <si>
    <t>Final Date</t>
  </si>
  <si>
    <t>Import Load</t>
  </si>
  <si>
    <t>City/Country</t>
  </si>
  <si>
    <t>Phone/Fax</t>
  </si>
  <si>
    <t>Email Address</t>
  </si>
  <si>
    <t>Contact Name</t>
  </si>
  <si>
    <t>Mobile Number</t>
  </si>
  <si>
    <t>Original Date</t>
  </si>
  <si>
    <t>Revised Date</t>
  </si>
  <si>
    <t>Production Time in Days</t>
  </si>
  <si>
    <t>Total Additional Cost</t>
  </si>
  <si>
    <t>Qty of each component</t>
  </si>
  <si>
    <t>*Completed by Big Lots</t>
  </si>
  <si>
    <t>Manufacturer Name</t>
  </si>
  <si>
    <t>Class</t>
  </si>
  <si>
    <t>Subclass</t>
  </si>
  <si>
    <t>PDQ Information</t>
  </si>
  <si>
    <t>Manufacturer Address</t>
  </si>
  <si>
    <t>Hong Kong</t>
  </si>
  <si>
    <t>Packaging Specifications</t>
  </si>
  <si>
    <t>Quota Category</t>
  </si>
  <si>
    <t>Value %</t>
  </si>
  <si>
    <t>PORT</t>
  </si>
  <si>
    <t>20' Rate</t>
  </si>
  <si>
    <t>IMU %</t>
  </si>
  <si>
    <t>PortSeq</t>
  </si>
  <si>
    <t>RateType</t>
  </si>
  <si>
    <t>RateSeq</t>
  </si>
  <si>
    <t>40' Rate</t>
  </si>
  <si>
    <t>RateNum</t>
  </si>
  <si>
    <t>PortNum</t>
  </si>
  <si>
    <t>Singapore</t>
  </si>
  <si>
    <t>Agent Name</t>
  </si>
  <si>
    <t>Description</t>
  </si>
  <si>
    <t>Bangladesh</t>
  </si>
  <si>
    <t>China, Dalian</t>
  </si>
  <si>
    <t>China, Fuzhou</t>
  </si>
  <si>
    <t>China, Huangpu</t>
  </si>
  <si>
    <t>China, Nanjing</t>
  </si>
  <si>
    <t>China, Ningbo</t>
  </si>
  <si>
    <t>China, Shanghai</t>
  </si>
  <si>
    <t>China, Shantou</t>
  </si>
  <si>
    <t>China, Xiamen</t>
  </si>
  <si>
    <t>China, Zhongshan</t>
  </si>
  <si>
    <t>China, Zhuhai</t>
  </si>
  <si>
    <t>India, Cochin</t>
  </si>
  <si>
    <t>India, Pipava</t>
  </si>
  <si>
    <t>India, Tuticorin</t>
  </si>
  <si>
    <t>Indonesia, Jakarta</t>
  </si>
  <si>
    <t>Indonesia, Surabaya</t>
  </si>
  <si>
    <t>Malaysia, Port Klang</t>
  </si>
  <si>
    <t>Thailand, Bangkok</t>
  </si>
  <si>
    <t>Thailand, Laem Chabang</t>
  </si>
  <si>
    <t>Turkey, Izmir</t>
  </si>
  <si>
    <t>Sri Lanka</t>
  </si>
  <si>
    <t>Vietnam, Haiphong</t>
  </si>
  <si>
    <t>Vietnam, Ho Chi Minh City</t>
  </si>
  <si>
    <t>China, Nantong</t>
  </si>
  <si>
    <t>Other Duty</t>
  </si>
  <si>
    <t>Payment Terms</t>
  </si>
  <si>
    <t>Brazil, Itajai</t>
  </si>
  <si>
    <t>China, Qingdao</t>
  </si>
  <si>
    <t>India, Chennai/Madras</t>
  </si>
  <si>
    <t>Malaysia, Penang</t>
  </si>
  <si>
    <t>Pakistan, Karachi</t>
  </si>
  <si>
    <t>Taiwan, Keelung</t>
  </si>
  <si>
    <t>Thailand, Songkhla</t>
  </si>
  <si>
    <t>India, Nhava Sheva / Mumbai</t>
  </si>
  <si>
    <t>Philippines, Manila</t>
  </si>
  <si>
    <t>Korea, Pusan</t>
  </si>
  <si>
    <t>Argentina, Buenos Aires</t>
  </si>
  <si>
    <t>Brazil, Sao Francisco Do Sul</t>
  </si>
  <si>
    <t>Netherlands, Rotterdam</t>
  </si>
  <si>
    <t>Pakistan, Port Qasim</t>
  </si>
  <si>
    <t>Portugal, Leixoes</t>
  </si>
  <si>
    <t>Spain, Valencia</t>
  </si>
  <si>
    <t>Taiwan, Taichung</t>
  </si>
  <si>
    <t>India, Mundra</t>
  </si>
  <si>
    <t>Malaysia, Pasir Gudang</t>
  </si>
  <si>
    <t>Defective (DA) %</t>
  </si>
  <si>
    <t>Price Quoted until (Order Date)</t>
  </si>
  <si>
    <t>For shipment before (Ship Date)</t>
  </si>
  <si>
    <t>Main Description</t>
  </si>
  <si>
    <t>China, Xingang/Tianjin</t>
  </si>
  <si>
    <t>Ireland, Dublin</t>
  </si>
  <si>
    <t>China, Wuhan</t>
  </si>
  <si>
    <t>LCL</t>
  </si>
  <si>
    <t>Package Type</t>
  </si>
  <si>
    <t>Brand Name</t>
  </si>
  <si>
    <t>Other packaging notes:</t>
  </si>
  <si>
    <t>PDQ Type</t>
  </si>
  <si>
    <t>Notes for PDQ Job Ticket</t>
  </si>
  <si>
    <t>Big Lots' Import Product Data Sheet must be completed for a quotation to be considered.</t>
  </si>
  <si>
    <t>Instructions for Supplier Completion of Big Lots' IPDS (Quote Sheet)</t>
  </si>
  <si>
    <t>If item is selected for purchase by Big Lots, this form must be completed and submitted as part of final IPDS.</t>
  </si>
  <si>
    <t>Electronic File Naming Protocol:</t>
  </si>
  <si>
    <t>Guaranteed Shelf Life at production:</t>
  </si>
  <si>
    <t xml:space="preserve">Food Product Compliance Data </t>
  </si>
  <si>
    <t>Shelf Life is printed on product:</t>
  </si>
  <si>
    <t>Yes</t>
  </si>
  <si>
    <t>No</t>
  </si>
  <si>
    <t>Show example of shelf life format:</t>
  </si>
  <si>
    <t>FDA Product Code:</t>
  </si>
  <si>
    <t>SID Number:</t>
  </si>
  <si>
    <t>Net Weight:</t>
  </si>
  <si>
    <t>g:</t>
  </si>
  <si>
    <t>oz:</t>
  </si>
  <si>
    <t xml:space="preserve">Ingredients List: </t>
  </si>
  <si>
    <t>LACF Registration Number:</t>
  </si>
  <si>
    <t xml:space="preserve"> </t>
  </si>
  <si>
    <t>France, Le Havre</t>
  </si>
  <si>
    <t>Spain, Barcelona</t>
  </si>
  <si>
    <t>Portugal, Lisbon</t>
  </si>
  <si>
    <t>Cambodia, Sihanoukville</t>
  </si>
  <si>
    <t>Israel, Haifa</t>
  </si>
  <si>
    <t>United Kingdom, Felixstowe</t>
  </si>
  <si>
    <t>Greece, Thessaloniki</t>
  </si>
  <si>
    <t>Germany, Bremerhaven</t>
  </si>
  <si>
    <t>Rate Type</t>
  </si>
  <si>
    <t>Italy, La Spezia</t>
  </si>
  <si>
    <t>Refrigerated Container</t>
  </si>
  <si>
    <t xml:space="preserve">Maximum - Minimum Temperature </t>
  </si>
  <si>
    <t xml:space="preserve">Product Shipped on Pallets </t>
  </si>
  <si>
    <t>Size of Pallets</t>
  </si>
  <si>
    <t xml:space="preserve">Product Floor Loaded </t>
  </si>
  <si>
    <t xml:space="preserve">No </t>
  </si>
  <si>
    <t>Pieces per Pallet</t>
  </si>
  <si>
    <t>Effective immediately, for all products being shipped in a PDQ, a rendering or photo of the PDQ will be required with the IPDS sheet.</t>
  </si>
  <si>
    <t>REQUIREMENTS</t>
  </si>
  <si>
    <t>- 72 DPI photo or line art rendering of the exact PDQ to be used, including how the product will be displayed</t>
  </si>
  <si>
    <t>- Flute specification (minimum requirement is "B" flute, per the guide)</t>
  </si>
  <si>
    <t>- All dimensions, including width, height and depth of the PDQ</t>
  </si>
  <si>
    <t>- photo or rendering from overhead angle to demonstrate the internal construction of the PDQ, including trays, wedges, etc. as applicable</t>
  </si>
  <si>
    <t>- Call out on exact number of pieces included in the PDQ</t>
  </si>
  <si>
    <t>- PDQ shown will be included in the price quote.  Final printed sample will be compared to the IPDS sheet for quality control</t>
  </si>
  <si>
    <t>- Document should be sent as a TAB, attached to the IPDS sheet</t>
  </si>
  <si>
    <t>- It is NOT necessary to show color, item description or pricepoint on the photo or rendering</t>
  </si>
  <si>
    <t>Please see example:</t>
  </si>
  <si>
    <t xml:space="preserve">KRACO ENTERPRISES        </t>
  </si>
  <si>
    <t xml:space="preserve">MATTEL BRANDS            </t>
  </si>
  <si>
    <t>MATTEL TOYS</t>
  </si>
  <si>
    <t xml:space="preserve">MEGA BRANDS AMERICAN     </t>
  </si>
  <si>
    <t>INTEX DEVELOPMENT COMPANY</t>
  </si>
  <si>
    <t xml:space="preserve">CAMBRIDGE SILVERSMITHS   </t>
  </si>
  <si>
    <t xml:space="preserve">NEW BRIGHT               </t>
  </si>
  <si>
    <t xml:space="preserve">UNIMAX TOYS LTD          </t>
  </si>
  <si>
    <t xml:space="preserve">TOY STATE INT'L LIMITED  </t>
  </si>
  <si>
    <t xml:space="preserve">ASHLEY FURNITURE         </t>
  </si>
  <si>
    <t xml:space="preserve">JAKKS PACIFIC HK LIMITED </t>
  </si>
  <si>
    <t xml:space="preserve">REEVES INTL INC          </t>
  </si>
  <si>
    <t>LIFETIME HOAN CORPORATION</t>
  </si>
  <si>
    <t xml:space="preserve">HASBRO TOY GROUP         </t>
  </si>
  <si>
    <t xml:space="preserve">SCIENTIFIC               </t>
  </si>
  <si>
    <t xml:space="preserve">FISHER PRICE BRANDS      </t>
  </si>
  <si>
    <t xml:space="preserve">AMLOID S. DE R.L.        </t>
  </si>
  <si>
    <t xml:space="preserve">GEMMY INDUSTRIES INC.    </t>
  </si>
  <si>
    <t xml:space="preserve">JASCO                    </t>
  </si>
  <si>
    <t xml:space="preserve">HOLMES                   </t>
  </si>
  <si>
    <t>HASBRO TOY GROUP DIRECT IMPORTS</t>
  </si>
  <si>
    <t xml:space="preserve">PLAY ALONG               </t>
  </si>
  <si>
    <t xml:space="preserve">HAUCK HONG KONG LTD      </t>
  </si>
  <si>
    <t xml:space="preserve">WHAT KIDS WANT INC.      </t>
  </si>
  <si>
    <t xml:space="preserve">JAKKS HK LTD             </t>
  </si>
  <si>
    <t xml:space="preserve">WHAM-O                   </t>
  </si>
  <si>
    <t xml:space="preserve">JAZWARES INC             </t>
  </si>
  <si>
    <t xml:space="preserve">TECHNO SOURCE            </t>
  </si>
  <si>
    <t xml:space="preserve">FLYING COLORS            </t>
  </si>
  <si>
    <t xml:space="preserve">POOF-SLINKY INC.         </t>
  </si>
  <si>
    <t xml:space="preserve">BIDDEFORD BLANKETS       </t>
  </si>
  <si>
    <t xml:space="preserve">TIGER ACCESSORY GROUP    </t>
  </si>
  <si>
    <t xml:space="preserve">RUSS BERRIE &amp; COMPANY    </t>
  </si>
  <si>
    <t>L'IMAGE HOME PRODUCTS INC</t>
  </si>
  <si>
    <t xml:space="preserve">BALL, BOUNCE AND SPORT   </t>
  </si>
  <si>
    <t xml:space="preserve">CHANCE PRODUCTIONS INC   </t>
  </si>
  <si>
    <t>SPIN MASTER TOYS FAR EAST</t>
  </si>
  <si>
    <t xml:space="preserve">GIDDY UP LLC             </t>
  </si>
  <si>
    <t>CEPIA LLC</t>
  </si>
  <si>
    <t xml:space="preserve">CHAR-BROIL               </t>
  </si>
  <si>
    <t xml:space="preserve">MEGA BRANDS AMERICA INC  </t>
  </si>
  <si>
    <t xml:space="preserve">KIDS STATION TOYS INTL   </t>
  </si>
  <si>
    <t xml:space="preserve">KIDS ONLY TOYS LTD       </t>
  </si>
  <si>
    <t xml:space="preserve">WOWWEE GROUP LIMITED     </t>
  </si>
  <si>
    <t xml:space="preserve">TOLLYTOTS LIMITED        </t>
  </si>
  <si>
    <t xml:space="preserve">MONOGRAM PRODUCTS HK LTD </t>
  </si>
  <si>
    <t>BANDAI CREATION DIV</t>
  </si>
  <si>
    <t>FIRST ACT</t>
  </si>
  <si>
    <t>GROW N UP</t>
  </si>
  <si>
    <t>MEYER  CORPORATION</t>
  </si>
  <si>
    <t>REVMAN INDUSTRIES</t>
  </si>
  <si>
    <t>WESTPOINT HOMES INC.</t>
  </si>
  <si>
    <t>Length</t>
  </si>
  <si>
    <t>Width</t>
  </si>
  <si>
    <t>Height</t>
  </si>
  <si>
    <t>Weight</t>
  </si>
  <si>
    <t>Mstr (in/lb)</t>
  </si>
  <si>
    <t>Mstr (cm/kg)</t>
  </si>
  <si>
    <t>Inner (in/lb)</t>
  </si>
  <si>
    <t>Inner (cm/kg)</t>
  </si>
  <si>
    <t>Sell U (in/lb)</t>
  </si>
  <si>
    <t>Sell U (cm/kg)</t>
  </si>
  <si>
    <t>WT + 60 DAYS (EURO)</t>
  </si>
  <si>
    <t>Vend Name</t>
  </si>
  <si>
    <t>FOB Cost per piece in selected currency</t>
  </si>
  <si>
    <t>Select Currency</t>
  </si>
  <si>
    <t>ConvRatio</t>
  </si>
  <si>
    <t>Curr_Selected</t>
  </si>
  <si>
    <t>Conv_Ratio</t>
  </si>
  <si>
    <t>FOB Cost per piece (USD)</t>
  </si>
  <si>
    <t>Carton Cube (cubic feet)</t>
  </si>
  <si>
    <t>Retail (USD)</t>
  </si>
  <si>
    <t>20' Reefer Qty (pcs)</t>
  </si>
  <si>
    <t>40' Reefer Qty (pcs)</t>
  </si>
  <si>
    <t>MAD - Moroccan Dirham</t>
  </si>
  <si>
    <t>DKK - Danish Kroner</t>
  </si>
  <si>
    <t>GBP - UK Pound</t>
  </si>
  <si>
    <t>SEK - Swedish Kronor</t>
  </si>
  <si>
    <t>USD - US Dollar</t>
  </si>
  <si>
    <t>EURO - Euro</t>
  </si>
  <si>
    <t>Greece, Piraeus</t>
  </si>
  <si>
    <t>Egypt, Port Said</t>
  </si>
  <si>
    <t>Bulgaria, Varna</t>
  </si>
  <si>
    <t>Spain, Algeciras</t>
  </si>
  <si>
    <t>Italy, Naples</t>
  </si>
  <si>
    <t>Italy, Palermo</t>
  </si>
  <si>
    <t>Italy, Salerno</t>
  </si>
  <si>
    <t>Belgium, Antwerp</t>
  </si>
  <si>
    <t>Denmark, Copenhagen</t>
  </si>
  <si>
    <t>Lithuania, Klaipeda</t>
  </si>
  <si>
    <t>Turkey, Gemlik</t>
  </si>
  <si>
    <t>Turkey, Mersin</t>
  </si>
  <si>
    <t>Egypt, Alexandria</t>
  </si>
  <si>
    <t>WT + 60 DAYS (USD)</t>
  </si>
  <si>
    <t xml:space="preserve">Note : </t>
  </si>
  <si>
    <t>UNITS</t>
  </si>
  <si>
    <t>MINIMUM ORDER QUANTITY TO STICKER PRODUCTS</t>
  </si>
  <si>
    <t>DAYS</t>
  </si>
  <si>
    <t>2. CORRECTING EXISTING PACKAGING WITH STICKERS/LABELS:</t>
  </si>
  <si>
    <t xml:space="preserve">OR </t>
  </si>
  <si>
    <t xml:space="preserve">MINIMUM ORDER QUANTITY FOR NEW PACKAGING </t>
  </si>
  <si>
    <t xml:space="preserve">LEAD-TIME FOR NEW PACKAGING </t>
  </si>
  <si>
    <t xml:space="preserve">1. NEW USA PACKAGING : </t>
  </si>
  <si>
    <t>Here are the principal rules for Nutritional facts panel information;</t>
  </si>
  <si>
    <t xml:space="preserve">Nutrient </t>
  </si>
  <si>
    <t xml:space="preserve">Daily Values </t>
  </si>
  <si>
    <t>measurement</t>
  </si>
  <si>
    <t>to report</t>
  </si>
  <si>
    <t>FDA rounding off rules</t>
  </si>
  <si>
    <t xml:space="preserve">specific reported values </t>
  </si>
  <si>
    <t xml:space="preserve">Calories </t>
  </si>
  <si>
    <t>n/a</t>
  </si>
  <si>
    <t>&lt; 50 calories - round off to nearest 5</t>
  </si>
  <si>
    <t>face value</t>
  </si>
  <si>
    <t>&gt; 50 calories - round off to nearest 10</t>
  </si>
  <si>
    <t xml:space="preserve">Calories from Fat </t>
  </si>
  <si>
    <t>if &lt;0.5g reported as 0g  or ' not a significant source of'</t>
  </si>
  <si>
    <t xml:space="preserve">Total Fat </t>
  </si>
  <si>
    <t>65g</t>
  </si>
  <si>
    <t>grams - g</t>
  </si>
  <si>
    <t>Round to the nearest 0.5g</t>
  </si>
  <si>
    <t>if &gt; or = to 5g - round to the nearest 1g</t>
  </si>
  <si>
    <t xml:space="preserve">Saturated Fats </t>
  </si>
  <si>
    <t>20g</t>
  </si>
  <si>
    <t>Transfats</t>
  </si>
  <si>
    <t>Cholesterol</t>
  </si>
  <si>
    <t>300 mg</t>
  </si>
  <si>
    <t>milligrams - mg</t>
  </si>
  <si>
    <t xml:space="preserve">Round to the nearest 5mg </t>
  </si>
  <si>
    <t>if &lt; 2mg reported as' 0g' or ' not a significant source of'</t>
  </si>
  <si>
    <t>if 2- 5 mg reported as &lt; 5mg or 'less than 5mg'</t>
  </si>
  <si>
    <t>sodium</t>
  </si>
  <si>
    <t>2400mg</t>
  </si>
  <si>
    <t>if &lt; 140mg - round to the nearest 5mg</t>
  </si>
  <si>
    <t>if &lt;5mg reported as '0mg' or ' not a significant source of'</t>
  </si>
  <si>
    <t>if &gt; 140mg - round to the nearest 10mg</t>
  </si>
  <si>
    <t>Total Carbohydrates</t>
  </si>
  <si>
    <t>300g</t>
  </si>
  <si>
    <t>Round to the nearest gram</t>
  </si>
  <si>
    <t>if &lt; 0.5g reported as' 0g' or ' not a significant source of'</t>
  </si>
  <si>
    <t>if 0.5 -1g report as '&lt;1g' or ' less than 1 g'</t>
  </si>
  <si>
    <t>Dietary Fiber</t>
  </si>
  <si>
    <t>25g</t>
  </si>
  <si>
    <t>if 0.5 - 1g report as '&lt;1g' or ' less than 1 g'</t>
  </si>
  <si>
    <t>Sugars</t>
  </si>
  <si>
    <t>if &lt; 1g report as 'contains less than 1g'</t>
  </si>
  <si>
    <t>Protein</t>
  </si>
  <si>
    <t>50g</t>
  </si>
  <si>
    <t>if &lt; 1g report as '&lt;1g' or ' less than 1 g'</t>
  </si>
  <si>
    <t>vitamin A</t>
  </si>
  <si>
    <t>500UI</t>
  </si>
  <si>
    <t>% of daily values</t>
  </si>
  <si>
    <t>&lt; 10% - round to the nearest 2% increment</t>
  </si>
  <si>
    <t>&gt; 10% - round to the nearest 5% increment</t>
  </si>
  <si>
    <t>if &lt;2 % daily values report as</t>
  </si>
  <si>
    <t xml:space="preserve"> ' not a significant source of'</t>
  </si>
  <si>
    <t>vitamin C</t>
  </si>
  <si>
    <t>60mg</t>
  </si>
  <si>
    <t>Calcium</t>
  </si>
  <si>
    <t>100mg</t>
  </si>
  <si>
    <t>Iron</t>
  </si>
  <si>
    <t>18mg</t>
  </si>
  <si>
    <t xml:space="preserve">LEAD-TIME TO CREATE AND APPLY STICKERS TO THE PRODUCTS </t>
  </si>
  <si>
    <t>DeptExcepts</t>
  </si>
  <si>
    <t>DeptExceptRateDiff</t>
  </si>
  <si>
    <t>EAN #</t>
  </si>
  <si>
    <t>Subtotal (ZWIV)</t>
  </si>
  <si>
    <t>All Pricing to Two Decimal Places</t>
  </si>
  <si>
    <t>CAD - Canadian Dollar</t>
  </si>
  <si>
    <t>Ireland, Belfast</t>
  </si>
  <si>
    <t>Peru, Calloa</t>
  </si>
  <si>
    <t>ARTISTIC STUDIOS LTD.</t>
  </si>
  <si>
    <t>CON AIR</t>
  </si>
  <si>
    <t>FASHION ANGELS</t>
  </si>
  <si>
    <t>JUST PLAY</t>
  </si>
  <si>
    <t>MAY CHEONG</t>
  </si>
  <si>
    <t>NKOK</t>
  </si>
  <si>
    <t>PLAY HUT, INC.</t>
  </si>
  <si>
    <t>UNCLE MILTON</t>
  </si>
  <si>
    <t>CUISINART</t>
  </si>
  <si>
    <t>DIGITAL BLUE</t>
  </si>
  <si>
    <t>Morocco, Casablanca</t>
  </si>
  <si>
    <t>Spain, Bilbao</t>
  </si>
  <si>
    <t>Cambodia, Phnom Penh</t>
  </si>
  <si>
    <t>Denmark, Aarhus</t>
  </si>
  <si>
    <t>Taiwan, Kaohsiung</t>
  </si>
  <si>
    <t>Metric (cm/kg)</t>
  </si>
  <si>
    <t>Place Photo of Individual Product and Display Case (PDQ) below</t>
  </si>
  <si>
    <t>US Standard (in/lb)</t>
  </si>
  <si>
    <t>NOTE: Can enter either US Standard OR Metric</t>
  </si>
  <si>
    <t>DCL 40'</t>
  </si>
  <si>
    <t>DCL 20'</t>
  </si>
  <si>
    <t>Max Weight</t>
  </si>
  <si>
    <t>MAX WEIGHT</t>
  </si>
  <si>
    <t>DCL</t>
  </si>
  <si>
    <t>Direct</t>
  </si>
  <si>
    <t>Selection</t>
  </si>
  <si>
    <t>Turkey, Ambarli Port/Istanbul</t>
  </si>
  <si>
    <t>Select Payment Terms</t>
  </si>
  <si>
    <t>Carton Inner Pk (Pieces)</t>
  </si>
  <si>
    <t>Shaded Areas for Big Lots Internal Use Only</t>
  </si>
  <si>
    <t>EUR</t>
  </si>
  <si>
    <t>SA</t>
  </si>
  <si>
    <t>ASIA</t>
  </si>
  <si>
    <t>Reg</t>
  </si>
  <si>
    <t>**Used for shading when max weight is exceeded</t>
  </si>
  <si>
    <t>Dept Execption</t>
  </si>
  <si>
    <t>Freight Rate / Cubic Ft</t>
  </si>
  <si>
    <t>Philippines, Cebu</t>
  </si>
  <si>
    <t>Romania, Constanta</t>
  </si>
  <si>
    <t>Sweden, Gothenburg</t>
  </si>
  <si>
    <t>NICOLAS HOLIDAY INC</t>
  </si>
  <si>
    <t>OCE</t>
  </si>
  <si>
    <t>Australia, Melbourne</t>
  </si>
  <si>
    <t>Australia, Sydney</t>
  </si>
  <si>
    <t>Food</t>
  </si>
  <si>
    <t>Food Option</t>
  </si>
  <si>
    <t>Non-Food</t>
  </si>
  <si>
    <t>FoodSeq</t>
  </si>
  <si>
    <t>No Rates</t>
  </si>
  <si>
    <t>Dept Except. Load</t>
  </si>
  <si>
    <t>Food (FDA) Load</t>
  </si>
  <si>
    <t xml:space="preserve">Port </t>
  </si>
  <si>
    <t>RateTypes</t>
  </si>
  <si>
    <t>New Freight</t>
  </si>
  <si>
    <t>Food (FDA)</t>
  </si>
  <si>
    <t>Revised Freight</t>
  </si>
  <si>
    <t>Base Freight</t>
  </si>
  <si>
    <t>Rate Type Options</t>
  </si>
  <si>
    <t>Region</t>
  </si>
  <si>
    <t>Product Type</t>
  </si>
  <si>
    <t>China, Yantian/Shenzhen/Shekou/Chiwan</t>
  </si>
  <si>
    <t>Carton Master Pk (Pieces)</t>
  </si>
  <si>
    <t>China, Nansha/Guangzhou</t>
  </si>
  <si>
    <t>AMLOID</t>
  </si>
  <si>
    <t>APPLICA</t>
  </si>
  <si>
    <t>CONAIR- ALLEGRO DIVISION</t>
  </si>
  <si>
    <t>HASBRO INC</t>
  </si>
  <si>
    <t>HOMEDICS</t>
  </si>
  <si>
    <t>JAKKS PACIFIC</t>
  </si>
  <si>
    <t>JUST PLAY LLC</t>
  </si>
  <si>
    <t>MATTEL SALES GROUP</t>
  </si>
  <si>
    <t>NEW BRIGHT</t>
  </si>
  <si>
    <t>PLAYMATES TOYS</t>
  </si>
  <si>
    <t>PLAYMATES TOYS INC</t>
  </si>
  <si>
    <t>SPINMASTER TOYS</t>
  </si>
  <si>
    <t>UNCLE MILTON INDUSTIRES</t>
  </si>
  <si>
    <t>WHAM-O INTERNATIONAL LTD</t>
  </si>
  <si>
    <t xml:space="preserve">WOWWEE USA  </t>
  </si>
  <si>
    <t>Cube for Container Selected</t>
  </si>
  <si>
    <t>Pallets per Container</t>
  </si>
  <si>
    <t>Pieces Per Container</t>
  </si>
  <si>
    <t>Container Cubic Feet</t>
  </si>
  <si>
    <t>Pallets</t>
  </si>
  <si>
    <t>Pallet Ratio</t>
  </si>
  <si>
    <t>Pallet Checked</t>
  </si>
  <si>
    <t>Est Pieces / Floor Load</t>
  </si>
  <si>
    <t>ABL – Acetate Box with Label</t>
  </si>
  <si>
    <t>ABNI – Acetate Box No Insert</t>
  </si>
  <si>
    <t>ACCB – Acetate Cover Color Box</t>
  </si>
  <si>
    <t>BBCL – Brown Box with Color Label</t>
  </si>
  <si>
    <t>BBL – Brown Box line art</t>
  </si>
  <si>
    <t>BC – Blister or Backer Card</t>
  </si>
  <si>
    <t>BS – Back stamp</t>
  </si>
  <si>
    <t>BWCL – Bulk with Color Label</t>
  </si>
  <si>
    <t>BWL – Black and White Label</t>
  </si>
  <si>
    <t>BWLR – Black and white label with retail</t>
  </si>
  <si>
    <t>CB – Color Box</t>
  </si>
  <si>
    <t>CBW – Color Box with Window</t>
  </si>
  <si>
    <t>CLR – Color Label with Retail</t>
  </si>
  <si>
    <t>CS – Clam Shell</t>
  </si>
  <si>
    <t>DBC – Double Blister Card</t>
  </si>
  <si>
    <t>DCC – Die Cut Card</t>
  </si>
  <si>
    <t>HC – Header Card</t>
  </si>
  <si>
    <t>HT – Hang Tag</t>
  </si>
  <si>
    <t>I – Insert</t>
  </si>
  <si>
    <t>PBH – Polybag with Header</t>
  </si>
  <si>
    <t>PBI – Polybag with Insert</t>
  </si>
  <si>
    <t>PP – Printed Polybag</t>
  </si>
  <si>
    <t>PPH – Printed Polybag with Header</t>
  </si>
  <si>
    <t>PS – Printed Sleeve</t>
  </si>
  <si>
    <t>PSH – Printed Sleeve with Header</t>
  </si>
  <si>
    <t>PSP – Peg side panel</t>
  </si>
  <si>
    <t>SC – Slide Card</t>
  </si>
  <si>
    <t>SWL – Shrink Wrap with Label</t>
  </si>
  <si>
    <t>SWPT – Shrink Wrap with Printed Tray</t>
  </si>
  <si>
    <t>WACC – Wraparound Color Card</t>
  </si>
  <si>
    <t>WACL – Wraparound Color Label</t>
  </si>
  <si>
    <t>WBCL – White Box with Color Label</t>
  </si>
  <si>
    <t>HTS Code (Tariff #)</t>
  </si>
  <si>
    <t>HPLDB – Half Palette Dump Bin</t>
  </si>
  <si>
    <t>FARBERWARE &amp; STONEWARE</t>
  </si>
  <si>
    <t>FDA Registration Number: (Manufacturer)</t>
  </si>
  <si>
    <t xml:space="preserve">Please reference the FDA Labelling Guide in tab five to see what modifications you will need to make, as we will not be able to continue with the selection process until this document has been completed. </t>
  </si>
  <si>
    <t>Combo Article</t>
  </si>
  <si>
    <t>Combo Article #</t>
  </si>
  <si>
    <t>Components of Combo</t>
  </si>
  <si>
    <t>Combo Checked</t>
  </si>
  <si>
    <t>Combo Description</t>
  </si>
  <si>
    <t>Combo Mfg. Part #</t>
  </si>
  <si>
    <t>Combo Article Breakdown</t>
  </si>
  <si>
    <t>Component Qty</t>
  </si>
  <si>
    <t>% of Total Weight</t>
  </si>
  <si>
    <t>HTS#</t>
  </si>
  <si>
    <t xml:space="preserve">Item / Description </t>
  </si>
  <si>
    <t>Indonesia, Semarang</t>
  </si>
  <si>
    <t>Retail</t>
  </si>
  <si>
    <t>Cost of Combo Article</t>
  </si>
  <si>
    <t>If item is selected for purchase by Big Lots and is a Combo**, this form must be completed and submitted as part of final IPDS.</t>
  </si>
  <si>
    <t>Gauge</t>
  </si>
  <si>
    <t>Thread Count</t>
  </si>
  <si>
    <t>GSM Weight</t>
  </si>
  <si>
    <t>Fiber Content</t>
  </si>
  <si>
    <r>
      <rPr>
        <sz val="8"/>
        <rFont val="Arial"/>
        <family val="2"/>
      </rPr>
      <t>Detailed Description:</t>
    </r>
    <r>
      <rPr>
        <b/>
        <sz val="8"/>
        <rFont val="Arial"/>
        <family val="2"/>
      </rPr>
      <t xml:space="preserve"> </t>
    </r>
    <r>
      <rPr>
        <sz val="6"/>
        <rFont val="Arial"/>
        <family val="2"/>
      </rPr>
      <t>List in detail, (by component if applicable) the product specifications including but not limited to: Dimensions of each piece; Finishes; Color; Package Contents; Assortment Details; MOQ, Visual Uniqueness, etc</t>
    </r>
  </si>
  <si>
    <t>Material Composition</t>
  </si>
  <si>
    <t>Big Lots SAP Article #</t>
  </si>
  <si>
    <t>*Note: Total should equal the cost of the Combo</t>
  </si>
  <si>
    <t>Total Cost of Components*</t>
  </si>
  <si>
    <t>Material Breakdown</t>
  </si>
  <si>
    <t>Features and Benefits</t>
  </si>
  <si>
    <t>NOTE: If item is a "Combo" (composed of different SAP Articles), please fill out the Combo Article Breakdown tab instead</t>
  </si>
  <si>
    <t>Reefer (Direct)</t>
  </si>
  <si>
    <t>Reefer (DCL)</t>
  </si>
  <si>
    <t>Big Lots Article #</t>
  </si>
  <si>
    <r>
      <rPr>
        <b/>
        <i/>
        <sz val="12"/>
        <rFont val="Arial"/>
        <family val="2"/>
      </rPr>
      <t>Initial quotes</t>
    </r>
    <r>
      <rPr>
        <b/>
        <sz val="12"/>
        <rFont val="Arial"/>
        <family val="2"/>
      </rPr>
      <t xml:space="preserve"> </t>
    </r>
    <r>
      <rPr>
        <sz val="12"/>
        <rFont val="Arial"/>
        <family val="2"/>
      </rPr>
      <t>require the completion of all non-shaded fields on Tab 1.  No purchase orders will be issued with an incomplete document.</t>
    </r>
  </si>
  <si>
    <t>List the materials used to make the merchandise, along with the percentage and cost of each.  The % of Total Weight should show the percentage of each material  to the total weight of the item.  The cost of each must add to equal the total cost of item (FOB cost).   Prorate transportation costs, labor, packaging, etc.  into cost of each material.  If the item is a set or assortment, each item in the set/assortment must be listed and detailed separately.   If the product is made in more than one country, cost breakdown by country is required.</t>
  </si>
  <si>
    <t xml:space="preserve">Fill in details on product features and benefits that are appropriate for display package and advertising. </t>
  </si>
  <si>
    <t>Fill in all non-shaded fields as indicated in the tab instructions</t>
  </si>
  <si>
    <t>Must be filled in for food quotations</t>
  </si>
  <si>
    <r>
      <t xml:space="preserve">Tab 1 - Import Product Data Sheet </t>
    </r>
    <r>
      <rPr>
        <sz val="12"/>
        <rFont val="Arial"/>
        <family val="2"/>
      </rPr>
      <t>- Complete information REQUIRED for ALL quotes and Final IPDS.</t>
    </r>
  </si>
  <si>
    <r>
      <t xml:space="preserve">Tab 4 - Features &amp; Benefits </t>
    </r>
    <r>
      <rPr>
        <sz val="12"/>
        <rFont val="Arial"/>
        <family val="2"/>
      </rPr>
      <t>- Complete information REQUIRED for Final IPDS.</t>
    </r>
  </si>
  <si>
    <r>
      <t xml:space="preserve">Tab 5 - Food Tab Compliance Data </t>
    </r>
    <r>
      <rPr>
        <sz val="12"/>
        <rFont val="Arial"/>
        <family val="2"/>
      </rPr>
      <t>- Complete information REQUIRED for Final IPDS.</t>
    </r>
  </si>
  <si>
    <r>
      <t xml:space="preserve">Tab 6 - Food Labeling Guide </t>
    </r>
    <r>
      <rPr>
        <sz val="12"/>
        <rFont val="Arial"/>
        <family val="2"/>
      </rPr>
      <t>- Used as REFERENCE</t>
    </r>
  </si>
  <si>
    <r>
      <t xml:space="preserve">Tab 7 - PDQ Instructions </t>
    </r>
    <r>
      <rPr>
        <sz val="12"/>
        <rFont val="Arial"/>
        <family val="2"/>
      </rPr>
      <t>- Used as REFERENCE</t>
    </r>
  </si>
  <si>
    <r>
      <t xml:space="preserve">Fill in Big Lots' </t>
    </r>
    <r>
      <rPr>
        <b/>
        <sz val="10"/>
        <rFont val="Arial"/>
        <family val="2"/>
      </rPr>
      <t>Department Number and Buyer</t>
    </r>
    <r>
      <rPr>
        <sz val="10"/>
        <rFont val="Arial"/>
        <family val="2"/>
      </rPr>
      <t xml:space="preserve"> Name from Sourcing Request or by requesting information from Agent.  Dept Number must be entered.</t>
    </r>
  </si>
  <si>
    <r>
      <t xml:space="preserve">Fill in </t>
    </r>
    <r>
      <rPr>
        <b/>
        <sz val="10"/>
        <rFont val="Arial"/>
        <family val="2"/>
      </rPr>
      <t>Country of Origin</t>
    </r>
    <r>
      <rPr>
        <sz val="10"/>
        <rFont val="Arial"/>
        <family val="2"/>
      </rPr>
      <t xml:space="preserve"> based on location where item will be manufactured.</t>
    </r>
  </si>
  <si>
    <r>
      <t xml:space="preserve">Choose </t>
    </r>
    <r>
      <rPr>
        <b/>
        <sz val="10"/>
        <rFont val="Arial"/>
        <family val="2"/>
      </rPr>
      <t>FOB Point</t>
    </r>
    <r>
      <rPr>
        <sz val="10"/>
        <rFont val="Arial"/>
        <family val="2"/>
      </rPr>
      <t xml:space="preserve"> from drop down menu.</t>
    </r>
  </si>
  <si>
    <r>
      <t xml:space="preserve">Choose </t>
    </r>
    <r>
      <rPr>
        <b/>
        <sz val="10"/>
        <rFont val="Arial"/>
        <family val="2"/>
      </rPr>
      <t>Product Type</t>
    </r>
    <r>
      <rPr>
        <sz val="10"/>
        <rFont val="Arial"/>
        <family val="2"/>
      </rPr>
      <t xml:space="preserve"> (food or non-food)</t>
    </r>
    <r>
      <rPr>
        <b/>
        <sz val="10"/>
        <rFont val="Arial"/>
        <family val="2"/>
      </rPr>
      <t xml:space="preserve">. </t>
    </r>
    <r>
      <rPr>
        <sz val="10"/>
        <rFont val="Arial"/>
        <family val="2"/>
      </rPr>
      <t xml:space="preserve"> There is an additional cost for food shipments included due to costs incurred in the US.</t>
    </r>
  </si>
  <si>
    <r>
      <t>Original Date</t>
    </r>
    <r>
      <rPr>
        <sz val="10"/>
        <rFont val="Arial"/>
        <family val="2"/>
      </rPr>
      <t xml:space="preserve"> is date of first submission in response to Sourcing Request.  </t>
    </r>
    <r>
      <rPr>
        <b/>
        <sz val="10"/>
        <rFont val="Arial"/>
        <family val="2"/>
      </rPr>
      <t>Revised Date</t>
    </r>
    <r>
      <rPr>
        <sz val="10"/>
        <rFont val="Arial"/>
        <family val="2"/>
      </rPr>
      <t xml:space="preserve"> is date revised IPDS is submitted.  </t>
    </r>
    <r>
      <rPr>
        <b/>
        <sz val="10"/>
        <rFont val="Arial"/>
        <family val="2"/>
      </rPr>
      <t>Final Date</t>
    </r>
    <r>
      <rPr>
        <sz val="10"/>
        <rFont val="Arial"/>
        <family val="2"/>
      </rPr>
      <t xml:space="preserve"> is date Final IPDS is submitted at time of purchase order confirmation.</t>
    </r>
  </si>
  <si>
    <r>
      <t xml:space="preserve">Fill in Big Lots' </t>
    </r>
    <r>
      <rPr>
        <b/>
        <sz val="10"/>
        <rFont val="Arial"/>
        <family val="2"/>
      </rPr>
      <t xml:space="preserve">Agent Name, </t>
    </r>
    <r>
      <rPr>
        <sz val="10"/>
        <rFont val="Arial"/>
        <family val="2"/>
      </rPr>
      <t>if applicable.</t>
    </r>
  </si>
  <si>
    <r>
      <t xml:space="preserve">Select </t>
    </r>
    <r>
      <rPr>
        <b/>
        <sz val="10"/>
        <rFont val="Arial"/>
        <family val="2"/>
      </rPr>
      <t xml:space="preserve">Payment Terms.  </t>
    </r>
    <r>
      <rPr>
        <sz val="10"/>
        <rFont val="Arial"/>
        <family val="2"/>
      </rPr>
      <t xml:space="preserve">Big Lots' standard </t>
    </r>
    <r>
      <rPr>
        <b/>
        <sz val="10"/>
        <rFont val="Arial"/>
        <family val="2"/>
      </rPr>
      <t xml:space="preserve">is </t>
    </r>
    <r>
      <rPr>
        <sz val="10"/>
        <rFont val="Arial"/>
        <family val="2"/>
      </rPr>
      <t>Wire Transfer plus 60 days from Forwarder's Cargo Receipt (FCR) date.</t>
    </r>
  </si>
  <si>
    <r>
      <t>Manufacturer Name, Address and Contact</t>
    </r>
    <r>
      <rPr>
        <sz val="10"/>
        <rFont val="Arial"/>
        <family val="2"/>
      </rPr>
      <t xml:space="preserve"> fields must be specific for the factory that produces the item.  Complete contact information is required.</t>
    </r>
  </si>
  <si>
    <r>
      <t xml:space="preserve">Specify </t>
    </r>
    <r>
      <rPr>
        <b/>
        <sz val="10"/>
        <rFont val="Arial"/>
        <family val="2"/>
      </rPr>
      <t>Production Time in Days</t>
    </r>
    <r>
      <rPr>
        <sz val="10"/>
        <rFont val="Arial"/>
        <family val="2"/>
      </rPr>
      <t xml:space="preserve"> to manufacture quoted item.</t>
    </r>
  </si>
  <si>
    <r>
      <t xml:space="preserve">Specify </t>
    </r>
    <r>
      <rPr>
        <b/>
        <sz val="10"/>
        <rFont val="Arial"/>
        <family val="2"/>
      </rPr>
      <t>Price Quoted until (Order Date)</t>
    </r>
    <r>
      <rPr>
        <sz val="10"/>
        <rFont val="Arial"/>
        <family val="2"/>
      </rPr>
      <t xml:space="preserve"> and </t>
    </r>
    <r>
      <rPr>
        <b/>
        <sz val="10"/>
        <rFont val="Arial"/>
        <family val="2"/>
      </rPr>
      <t>For shipment before (Ship Date).</t>
    </r>
  </si>
  <si>
    <r>
      <t>Main Description</t>
    </r>
    <r>
      <rPr>
        <sz val="10"/>
        <rFont val="Arial"/>
        <family val="2"/>
      </rPr>
      <t xml:space="preserve"> is the name of the item (e.g. 23" Jingle Bell Door Hanger - Assortment of 2; Water-filled Jumprope)</t>
    </r>
  </si>
  <si>
    <r>
      <t xml:space="preserve">In the </t>
    </r>
    <r>
      <rPr>
        <b/>
        <sz val="10"/>
        <rFont val="Arial"/>
        <family val="2"/>
      </rPr>
      <t>Detailed Description</t>
    </r>
    <r>
      <rPr>
        <sz val="10"/>
        <rFont val="Arial"/>
        <family val="2"/>
      </rPr>
      <t xml:space="preserve"> field, provide a complete description of the item including how it works, for what purpose, and specifications of all components of the quoted item including but not limited to: Dimensions of each piece; Finishes; Color; Package Contents; Assortment Details; MOQ, Visual Uniqueness, etc</t>
    </r>
  </si>
  <si>
    <r>
      <t xml:space="preserve">When applicable, fill in </t>
    </r>
    <r>
      <rPr>
        <b/>
        <sz val="10"/>
        <rFont val="Arial"/>
        <family val="2"/>
      </rPr>
      <t xml:space="preserve">Material Composition, Gauge, Weight, GSM Weight, Fiber Content, and Thread Count.  </t>
    </r>
    <r>
      <rPr>
        <sz val="10"/>
        <rFont val="Arial"/>
        <family val="2"/>
      </rPr>
      <t>Please be as descriptive as possible to aid in classifying and testing the product.  State the exact type of material(s) used in the product.  For example, if the product is made of iron metal, specify "iron", not "metal".</t>
    </r>
  </si>
  <si>
    <r>
      <t>If the item was previously purchased by Big Lots, enter the most recent Big Lots Article number in the</t>
    </r>
    <r>
      <rPr>
        <b/>
        <sz val="10"/>
        <rFont val="Arial"/>
        <family val="2"/>
      </rPr>
      <t xml:space="preserve"> Big Lots Article #</t>
    </r>
    <r>
      <rPr>
        <sz val="10"/>
        <rFont val="Arial"/>
        <family val="2"/>
      </rPr>
      <t xml:space="preserve"> field.  For new items, the Big Lots Article number from the purchase order must be entered in this field on the Final IPDS.</t>
    </r>
  </si>
  <si>
    <r>
      <t xml:space="preserve">Fill in either </t>
    </r>
    <r>
      <rPr>
        <b/>
        <sz val="10"/>
        <rFont val="Arial"/>
        <family val="2"/>
      </rPr>
      <t xml:space="preserve">EAN </t>
    </r>
    <r>
      <rPr>
        <sz val="10"/>
        <rFont val="Arial"/>
        <family val="2"/>
      </rPr>
      <t>or</t>
    </r>
    <r>
      <rPr>
        <b/>
        <sz val="10"/>
        <rFont val="Arial"/>
        <family val="2"/>
      </rPr>
      <t xml:space="preserve"> UPC</t>
    </r>
  </si>
  <si>
    <r>
      <t>Cubic Feet</t>
    </r>
    <r>
      <rPr>
        <sz val="10"/>
        <rFont val="Arial"/>
        <family val="2"/>
      </rPr>
      <t xml:space="preserve"> are calculated from Master Pack Dimensions.  Do not enter a value in this field.</t>
    </r>
  </si>
  <si>
    <r>
      <t xml:space="preserve">If product is shipping on pallets, the </t>
    </r>
    <r>
      <rPr>
        <b/>
        <sz val="10"/>
        <rFont val="Arial"/>
        <family val="2"/>
      </rPr>
      <t xml:space="preserve">Check if Pallet Shipment </t>
    </r>
    <r>
      <rPr>
        <sz val="10"/>
        <rFont val="Arial"/>
        <family val="2"/>
      </rPr>
      <t xml:space="preserve">must be checked above.  The number of </t>
    </r>
    <r>
      <rPr>
        <b/>
        <sz val="10"/>
        <rFont val="Arial"/>
        <family val="2"/>
      </rPr>
      <t xml:space="preserve">Pieces per Pallet </t>
    </r>
    <r>
      <rPr>
        <sz val="10"/>
        <rFont val="Arial"/>
        <family val="2"/>
      </rPr>
      <t xml:space="preserve">should indicate how many pieces are shipping on the pallet.  The </t>
    </r>
    <r>
      <rPr>
        <b/>
        <sz val="10"/>
        <rFont val="Arial"/>
        <family val="2"/>
      </rPr>
      <t>Pallets per Container</t>
    </r>
    <r>
      <rPr>
        <sz val="10"/>
        <rFont val="Arial"/>
        <family val="2"/>
      </rPr>
      <t xml:space="preserve"> should indicate how many pallets will fit in the container size (Rate Type) that was selected.  Please make sure that weight is considered if the shipment is heavy, as the number of pallets that can physically fit might be more than the weight limits.  (20' container = 38,940 lbs; 40' = 43.890 lbs; DCL 40' or 20' = 47,000 lbs.)</t>
    </r>
  </si>
  <si>
    <r>
      <t xml:space="preserve">If the Buyer has requested for the item to be shipped in a PDQ (shelf display unit), select the </t>
    </r>
    <r>
      <rPr>
        <b/>
        <sz val="10"/>
        <rFont val="Arial"/>
        <family val="2"/>
      </rPr>
      <t>PDQ Type</t>
    </r>
    <r>
      <rPr>
        <sz val="10"/>
        <rFont val="Arial"/>
        <family val="2"/>
      </rPr>
      <t xml:space="preserve"> from the dropdown menu. If the requested PDQ is not found in the dropdown menu, use the </t>
    </r>
    <r>
      <rPr>
        <b/>
        <sz val="10"/>
        <rFont val="Arial"/>
        <family val="2"/>
      </rPr>
      <t>Notes for PDQ Job Ticket</t>
    </r>
    <r>
      <rPr>
        <sz val="10"/>
        <rFont val="Arial"/>
        <family val="2"/>
      </rPr>
      <t xml:space="preserve"> field to provide detailed information on the PDQ.</t>
    </r>
  </si>
  <si>
    <r>
      <rPr>
        <b/>
        <sz val="10"/>
        <rFont val="Arial"/>
        <family val="2"/>
      </rPr>
      <t xml:space="preserve">Select Currency </t>
    </r>
    <r>
      <rPr>
        <sz val="10"/>
        <rFont val="Arial"/>
        <family val="2"/>
      </rPr>
      <t xml:space="preserve">and fill in </t>
    </r>
    <r>
      <rPr>
        <b/>
        <sz val="10"/>
        <rFont val="Arial"/>
        <family val="2"/>
      </rPr>
      <t>FOB Cost per piece in selected currency.</t>
    </r>
  </si>
  <si>
    <r>
      <t xml:space="preserve">Some duty rates are on a per piece basis vs. a percentage of first cost.  If per piece duty applies, please input the duty in the </t>
    </r>
    <r>
      <rPr>
        <b/>
        <sz val="10"/>
        <rFont val="Arial"/>
        <family val="2"/>
      </rPr>
      <t xml:space="preserve">Other Duty </t>
    </r>
    <r>
      <rPr>
        <sz val="10"/>
        <rFont val="Arial"/>
        <family val="2"/>
      </rPr>
      <t>field</t>
    </r>
    <r>
      <rPr>
        <b/>
        <sz val="10"/>
        <rFont val="Arial"/>
        <family val="2"/>
      </rPr>
      <t>.</t>
    </r>
  </si>
  <si>
    <r>
      <t xml:space="preserve">NOTE: A </t>
    </r>
    <r>
      <rPr>
        <b/>
        <i/>
        <sz val="10"/>
        <rFont val="Arial"/>
        <family val="2"/>
      </rPr>
      <t>Combo Article</t>
    </r>
    <r>
      <rPr>
        <sz val="10"/>
        <rFont val="Arial"/>
        <family val="2"/>
      </rPr>
      <t xml:space="preserve"> is one that contains other Articles as part of it (i.e. purchasing unit is one Article, but sellable units at stores are different Article). </t>
    </r>
  </si>
  <si>
    <r>
      <t xml:space="preserve">Tab 3 - Combo Article Breakdown </t>
    </r>
    <r>
      <rPr>
        <sz val="10"/>
        <rFont val="Arial"/>
        <family val="2"/>
      </rPr>
      <t xml:space="preserve">- Complete information REQUIRED for Final IPDS </t>
    </r>
    <r>
      <rPr>
        <u/>
        <sz val="10"/>
        <rFont val="Arial"/>
        <family val="2"/>
      </rPr>
      <t>ONLY if the item is being purchased as a Combo Article</t>
    </r>
  </si>
  <si>
    <t>LC Port</t>
  </si>
  <si>
    <t>N</t>
  </si>
  <si>
    <t>Y</t>
  </si>
  <si>
    <t xml:space="preserve">Brazil, Pecem </t>
  </si>
  <si>
    <t>Brazil, Rio Grande Do Sol</t>
  </si>
  <si>
    <t xml:space="preserve">Brazil, Santos </t>
  </si>
  <si>
    <t xml:space="preserve">Chile, San Antonio </t>
  </si>
  <si>
    <t xml:space="preserve">Chile, Valparaiso </t>
  </si>
  <si>
    <t xml:space="preserve">Dominican Republic, Caucedo </t>
  </si>
  <si>
    <t xml:space="preserve">Guatemala, Puerto Barrios </t>
  </si>
  <si>
    <t>Guatemala, Santo Tomas De Castilla</t>
  </si>
  <si>
    <t>Panama, Balboa</t>
  </si>
  <si>
    <t>Panama, Cristobal</t>
  </si>
  <si>
    <t>GROUPE SEB</t>
  </si>
  <si>
    <t xml:space="preserve">DAWSON FURNITURE CO INC  </t>
  </si>
  <si>
    <t xml:space="preserve">JP PRODUCTS, L.C.        </t>
  </si>
  <si>
    <t xml:space="preserve">MAISTO DOMESTIC          </t>
  </si>
  <si>
    <t xml:space="preserve">PLAYMATES ASIA SERVICES  </t>
  </si>
  <si>
    <t xml:space="preserve">PRETTY PRODUCTS          </t>
  </si>
  <si>
    <t>PRO BEST DBA SIL-WARE LLC</t>
  </si>
  <si>
    <t xml:space="preserve">SAKURA                   </t>
  </si>
  <si>
    <t>TEAM PRODUCTS INTERNATION</t>
  </si>
  <si>
    <r>
      <t xml:space="preserve">Tab 2 - Article Cost Breakdown </t>
    </r>
    <r>
      <rPr>
        <sz val="10"/>
        <rFont val="Arial"/>
        <family val="2"/>
      </rPr>
      <t xml:space="preserve">- Complete information REQUIRED for Final IPDS </t>
    </r>
    <r>
      <rPr>
        <u/>
        <sz val="10"/>
        <rFont val="Arial"/>
        <family val="2"/>
      </rPr>
      <t>ONLY</t>
    </r>
  </si>
  <si>
    <t>Cnt</t>
  </si>
  <si>
    <t>Max Cube</t>
  </si>
  <si>
    <t>Max Cases</t>
  </si>
  <si>
    <t>Max Pcs</t>
  </si>
  <si>
    <t>Weight Adj Max Pieces</t>
  </si>
  <si>
    <t>Case Weight (lbs)</t>
  </si>
  <si>
    <t>Case Cube (cft)</t>
  </si>
  <si>
    <t>20' Cntr Qty (pcs)</t>
  </si>
  <si>
    <t>40' Cntr Qty (pcs)</t>
  </si>
  <si>
    <t>40H Cntr Qty (pcs)</t>
  </si>
  <si>
    <t>45' Cntr Qty (pcs)</t>
  </si>
  <si>
    <t>GSP Eligible</t>
  </si>
  <si>
    <t>20'</t>
  </si>
  <si>
    <t>40'</t>
  </si>
  <si>
    <t>40H</t>
  </si>
  <si>
    <t>45'</t>
  </si>
  <si>
    <t>20' Rf</t>
  </si>
  <si>
    <t>40' Rf</t>
  </si>
  <si>
    <t>Cntr Weight (lbs)</t>
  </si>
  <si>
    <r>
      <rPr>
        <b/>
        <sz val="10"/>
        <rFont val="Arial"/>
        <family val="2"/>
      </rPr>
      <t>Container Weight</t>
    </r>
    <r>
      <rPr>
        <sz val="10"/>
        <rFont val="Arial"/>
        <family val="2"/>
      </rPr>
      <t xml:space="preserve"> is the calculated weight of a full container.  This is calculated by taking the number of master cartons times the weight of the master carton.   If the weight of a 40' container is over 43,890 lbs (47,000 lbs for DCL 40') then the container should be considered as "weighing out". For a 20' container the weight cannot exceed 38,940 lbs (47,000 lbs for DCL 20') and can only be used with the approval from Big Lots.  If the weight exceeds the maximum for that container size (depending on whether DCL Rate Type is selected), the weight will be highlighed in red.</t>
    </r>
  </si>
  <si>
    <r>
      <t xml:space="preserve">Choose </t>
    </r>
    <r>
      <rPr>
        <b/>
        <sz val="10"/>
        <rFont val="Arial"/>
        <family val="2"/>
      </rPr>
      <t>Rate Type</t>
    </r>
    <r>
      <rPr>
        <sz val="10"/>
        <rFont val="Arial"/>
        <family val="2"/>
      </rPr>
      <t xml:space="preserve"> from drop down menu.  Depending on FOB Point and whether the product is Food, certain rates might not be applicable:  
</t>
    </r>
    <r>
      <rPr>
        <b/>
        <sz val="10"/>
        <rFont val="Arial"/>
        <family val="2"/>
      </rPr>
      <t>FCL - 40' Rate -</t>
    </r>
    <r>
      <rPr>
        <sz val="10"/>
        <rFont val="Arial"/>
        <family val="2"/>
      </rPr>
      <t xml:space="preserve"> 40 ft. </t>
    </r>
    <r>
      <rPr>
        <u/>
        <sz val="10"/>
        <rFont val="Arial"/>
        <family val="2"/>
      </rPr>
      <t>Full</t>
    </r>
    <r>
      <rPr>
        <sz val="10"/>
        <rFont val="Arial"/>
        <family val="2"/>
      </rPr>
      <t xml:space="preserve"> Container Load (FCL); also used for 40HC or 45' containers
</t>
    </r>
    <r>
      <rPr>
        <b/>
        <sz val="10"/>
        <rFont val="Arial"/>
        <family val="2"/>
      </rPr>
      <t>FCL - 20' Rate -</t>
    </r>
    <r>
      <rPr>
        <sz val="10"/>
        <rFont val="Arial"/>
        <family val="2"/>
      </rPr>
      <t xml:space="preserve"> 20 ft. </t>
    </r>
    <r>
      <rPr>
        <u/>
        <sz val="10"/>
        <rFont val="Arial"/>
        <family val="2"/>
      </rPr>
      <t>Full</t>
    </r>
    <r>
      <rPr>
        <sz val="10"/>
        <rFont val="Arial"/>
        <family val="2"/>
      </rPr>
      <t xml:space="preserve"> Container Load (FCL); may only be selected if a 40' container weighs out
</t>
    </r>
    <r>
      <rPr>
        <b/>
        <sz val="10"/>
        <rFont val="Arial"/>
        <family val="2"/>
      </rPr>
      <t xml:space="preserve">LCL - </t>
    </r>
    <r>
      <rPr>
        <sz val="10"/>
        <rFont val="Arial"/>
        <family val="2"/>
      </rPr>
      <t xml:space="preserve">Less Than Container Load (for consolidation); NOTE: Food cannot ship LCL.
</t>
    </r>
    <r>
      <rPr>
        <b/>
        <sz val="10"/>
        <rFont val="Arial"/>
        <family val="2"/>
      </rPr>
      <t>DCL 40'</t>
    </r>
    <r>
      <rPr>
        <sz val="10"/>
        <rFont val="Arial"/>
        <family val="2"/>
      </rPr>
      <t xml:space="preserve"> or </t>
    </r>
    <r>
      <rPr>
        <b/>
        <sz val="10"/>
        <rFont val="Arial"/>
        <family val="2"/>
      </rPr>
      <t xml:space="preserve">DCL 20' </t>
    </r>
    <r>
      <rPr>
        <sz val="10"/>
        <rFont val="Arial"/>
        <family val="2"/>
      </rPr>
      <t xml:space="preserve">(Deconsolidation)
</t>
    </r>
    <r>
      <rPr>
        <b/>
        <sz val="10"/>
        <rFont val="Arial"/>
        <family val="2"/>
      </rPr>
      <t>Reefer (Direct)</t>
    </r>
    <r>
      <rPr>
        <sz val="10"/>
        <rFont val="Arial"/>
        <family val="2"/>
      </rPr>
      <t xml:space="preserve">: Refrigerated Shipment Direct to DCs
</t>
    </r>
    <r>
      <rPr>
        <b/>
        <sz val="10"/>
        <rFont val="Arial"/>
        <family val="2"/>
      </rPr>
      <t>Reefer (DCL)</t>
    </r>
    <r>
      <rPr>
        <sz val="10"/>
        <rFont val="Arial"/>
        <family val="2"/>
      </rPr>
      <t>: Refrigerated Shipment to Deconsolidation
-If the quantity for any DC exceeds a full container, the 40' rate must be selected. 
-If the anticipated quantity is not sufficient for a FCL shipment, then LCL or DCL rates must be selected.  
-If a Rate Type is selected and 'No Rates' displays in the Freight Rate field, there is no service available from the selected port.</t>
    </r>
  </si>
  <si>
    <t>Max Cntr Pcs</t>
  </si>
  <si>
    <r>
      <t xml:space="preserve">The </t>
    </r>
    <r>
      <rPr>
        <b/>
        <sz val="10"/>
        <rFont val="Arial"/>
        <family val="2"/>
      </rPr>
      <t>Max Cntr Pcs</t>
    </r>
    <r>
      <rPr>
        <sz val="10"/>
        <rFont val="Arial"/>
        <family val="2"/>
      </rPr>
      <t xml:space="preserve"> is estimated based on the cube of the product for the various container sizes: </t>
    </r>
    <r>
      <rPr>
        <b/>
        <sz val="10"/>
        <rFont val="Arial"/>
        <family val="2"/>
      </rPr>
      <t>20', 40', 40H, 45', 20' Reefer, and 40' Reefer</t>
    </r>
    <r>
      <rPr>
        <sz val="10"/>
        <rFont val="Arial"/>
        <family val="2"/>
      </rPr>
      <t xml:space="preserve">.  
- If the container will weigh out before cubing out, then the default maximum will be based on the weight.  
- If pallets are selected, it will be based on the pieces per pallet x pallets per container as input.
- </t>
    </r>
    <r>
      <rPr>
        <b/>
        <sz val="10"/>
        <rFont val="Arial"/>
        <family val="2"/>
      </rPr>
      <t xml:space="preserve">NOTE: </t>
    </r>
    <r>
      <rPr>
        <b/>
        <i/>
        <sz val="10"/>
        <rFont val="Arial"/>
        <family val="2"/>
      </rPr>
      <t>While this is auto populated, please review and overwrite if needed, as it could vary based on the size and shape of the master cartons.</t>
    </r>
  </si>
  <si>
    <t>FCL - 40'/40H/45'</t>
  </si>
  <si>
    <t>FCL - 20'</t>
  </si>
  <si>
    <t>Peru, Paita</t>
  </si>
  <si>
    <r>
      <t xml:space="preserve">Packaging Specifications:  Select </t>
    </r>
    <r>
      <rPr>
        <b/>
        <sz val="10"/>
        <rFont val="Arial"/>
        <family val="2"/>
      </rPr>
      <t>Package Type</t>
    </r>
    <r>
      <rPr>
        <sz val="10"/>
        <rFont val="Arial"/>
        <family val="2"/>
      </rPr>
      <t xml:space="preserve"> from the drop down menu.  Select </t>
    </r>
    <r>
      <rPr>
        <b/>
        <sz val="10"/>
        <rFont val="Arial"/>
        <family val="2"/>
      </rPr>
      <t>Brand Name</t>
    </r>
    <r>
      <rPr>
        <sz val="10"/>
        <rFont val="Arial"/>
        <family val="2"/>
      </rPr>
      <t xml:space="preserve"> from the drop down menu of Big Lots' captive brands, if applicable.  Check </t>
    </r>
    <r>
      <rPr>
        <b/>
        <sz val="10"/>
        <rFont val="Arial"/>
        <family val="2"/>
      </rPr>
      <t>EAS Source Tagging Required</t>
    </r>
    <r>
      <rPr>
        <sz val="10"/>
        <rFont val="Arial"/>
        <family val="2"/>
      </rPr>
      <t xml:space="preserve">, if applicable.  Enter </t>
    </r>
    <r>
      <rPr>
        <b/>
        <sz val="10"/>
        <rFont val="Arial"/>
        <family val="2"/>
      </rPr>
      <t>Other Packaging Notes</t>
    </r>
    <r>
      <rPr>
        <sz val="10"/>
        <rFont val="Arial"/>
        <family val="2"/>
      </rPr>
      <t xml:space="preserve"> as needed such as packaging materials, placement of hang tag, etc.</t>
    </r>
  </si>
  <si>
    <t>Colombia, Barranquilla</t>
  </si>
  <si>
    <t>Colombia, Buenaventura</t>
  </si>
  <si>
    <t>Supplier #</t>
  </si>
  <si>
    <t>Supplier Address</t>
  </si>
  <si>
    <t>Supplier Name</t>
  </si>
  <si>
    <t>Supplier Email Address to send PO</t>
  </si>
  <si>
    <t>Reminder: Supplier  is responsible for correct master/inner pack, carton cube, and all other key information.  Chargebacks for violations could apply.</t>
  </si>
  <si>
    <r>
      <t xml:space="preserve">Fill in Big Lots' </t>
    </r>
    <r>
      <rPr>
        <b/>
        <sz val="10"/>
        <rFont val="Arial"/>
        <family val="2"/>
      </rPr>
      <t>Supplier #</t>
    </r>
    <r>
      <rPr>
        <sz val="10"/>
        <rFont val="Arial"/>
        <family val="2"/>
      </rPr>
      <t xml:space="preserve"> and all Supplier Contact information.</t>
    </r>
  </si>
  <si>
    <r>
      <t xml:space="preserve">Fill in </t>
    </r>
    <r>
      <rPr>
        <b/>
        <sz val="10"/>
        <rFont val="Arial"/>
        <family val="2"/>
      </rPr>
      <t>Supplier</t>
    </r>
    <r>
      <rPr>
        <sz val="10"/>
        <rFont val="Arial"/>
        <family val="2"/>
      </rPr>
      <t xml:space="preserve"> Email Address in which to send the Purchase Order</t>
    </r>
  </si>
  <si>
    <r>
      <rPr>
        <b/>
        <sz val="10"/>
        <rFont val="Arial"/>
        <family val="2"/>
      </rPr>
      <t>Supplier</t>
    </r>
    <r>
      <rPr>
        <sz val="10"/>
        <rFont val="Arial"/>
        <family val="2"/>
      </rPr>
      <t xml:space="preserve"> Mfg # is the supplier's model or style number.</t>
    </r>
  </si>
  <si>
    <r>
      <t>A</t>
    </r>
    <r>
      <rPr>
        <b/>
        <sz val="12"/>
        <rFont val="Arial"/>
        <family val="2"/>
      </rPr>
      <t xml:space="preserve"> </t>
    </r>
    <r>
      <rPr>
        <b/>
        <i/>
        <sz val="12"/>
        <rFont val="Arial"/>
        <family val="2"/>
      </rPr>
      <t>final version of the IPDS</t>
    </r>
    <r>
      <rPr>
        <b/>
        <sz val="12"/>
        <rFont val="Arial"/>
        <family val="2"/>
      </rPr>
      <t xml:space="preserve"> </t>
    </r>
    <r>
      <rPr>
        <sz val="12"/>
        <rFont val="Arial"/>
        <family val="2"/>
      </rPr>
      <t>is due at the time that the supplier confirms the purchase order.  ALL tabs must be completed on the final IPDS including information specified in Big Lots' Supplier Manual.  Delete IPDS instructions tab before submitting.</t>
    </r>
  </si>
  <si>
    <r>
      <t>Insert</t>
    </r>
    <r>
      <rPr>
        <b/>
        <sz val="10"/>
        <rFont val="Arial"/>
        <family val="2"/>
      </rPr>
      <t xml:space="preserve"> Photo</t>
    </r>
    <r>
      <rPr>
        <sz val="10"/>
        <rFont val="Arial"/>
        <family val="2"/>
      </rPr>
      <t xml:space="preserve"> of item in space provided in bottom right of IPDS sheet.  Image must be supplier's photo of supplier's sample.  Do not reuse the photo provided in the Sourcing Request.</t>
    </r>
  </si>
  <si>
    <t>Calculated fill- supplier must verify</t>
  </si>
  <si>
    <t>Supplier Mfg. Part #</t>
  </si>
  <si>
    <t>FDA Registration Number: (Supplier)</t>
  </si>
  <si>
    <t>Poland, Gdynia</t>
  </si>
  <si>
    <t>Italy, Genoa</t>
  </si>
  <si>
    <t>WT + 60 DAYS (GBP)</t>
  </si>
  <si>
    <t>WT + 60 DAYS (SEK)</t>
  </si>
  <si>
    <t>Italy, Gioia Tauro</t>
  </si>
  <si>
    <t>Material and/or Cost Breakdown</t>
  </si>
  <si>
    <t>Master Pack</t>
  </si>
  <si>
    <t>Inner Pack</t>
  </si>
  <si>
    <t>**This tab only applies if an item is a "Combo" article in which there are multiple Big Lots SAP Articles.  If product is an assortment of the same SAP Article, use Article Cost tab.</t>
  </si>
  <si>
    <t>Est. Subtotal (ZWIV) / pc</t>
  </si>
  <si>
    <r>
      <t xml:space="preserve">Enter the number of pieces contained in the shipping carton in the </t>
    </r>
    <r>
      <rPr>
        <b/>
        <sz val="10"/>
        <rFont val="Arial"/>
        <family val="2"/>
      </rPr>
      <t>Carton</t>
    </r>
    <r>
      <rPr>
        <sz val="10"/>
        <rFont val="Arial"/>
        <family val="2"/>
      </rPr>
      <t xml:space="preserve"> </t>
    </r>
    <r>
      <rPr>
        <b/>
        <sz val="10"/>
        <rFont val="Arial"/>
        <family val="2"/>
      </rPr>
      <t>Master Pack</t>
    </r>
    <r>
      <rPr>
        <sz val="10"/>
        <rFont val="Arial"/>
        <family val="2"/>
      </rPr>
      <t xml:space="preserve"> field.  If applicable, enter the number of pieces in </t>
    </r>
    <r>
      <rPr>
        <b/>
        <sz val="10"/>
        <rFont val="Arial"/>
        <family val="2"/>
      </rPr>
      <t>Inner Pack</t>
    </r>
    <r>
      <rPr>
        <sz val="10"/>
        <rFont val="Arial"/>
        <family val="2"/>
      </rPr>
      <t xml:space="preserve"> field.  </t>
    </r>
    <r>
      <rPr>
        <i/>
        <sz val="10"/>
        <rFont val="Arial"/>
        <family val="2"/>
      </rPr>
      <t>NOTE: For Non-Combo Items: Master Pack (Pcs) is the total number of sellable units in a master carton.  For Combo Items: Master Pack (Pcs) is the number of shippable cartons inside (Complete Combo Article Breakdown tab for detailed breakdown)</t>
    </r>
  </si>
  <si>
    <r>
      <rPr>
        <b/>
        <sz val="10"/>
        <rFont val="Arial"/>
        <family val="2"/>
      </rPr>
      <t xml:space="preserve">Dimensions: </t>
    </r>
    <r>
      <rPr>
        <sz val="10"/>
        <rFont val="Arial"/>
        <family val="2"/>
      </rPr>
      <t xml:space="preserve">Can either use US Standard (inches/pounds) </t>
    </r>
    <r>
      <rPr>
        <b/>
        <sz val="10"/>
        <rFont val="Arial"/>
        <family val="2"/>
      </rPr>
      <t>OR</t>
    </r>
    <r>
      <rPr>
        <sz val="10"/>
        <rFont val="Arial"/>
        <family val="2"/>
      </rPr>
      <t xml:space="preserve"> Metric (centimeters/kilograms) dimensions.  Calculations will default to US standard when applicable.
Fill in numerical values only for dimensions (e.g. 30, not 30"): </t>
    </r>
    <r>
      <rPr>
        <b/>
        <sz val="10"/>
        <rFont val="Arial"/>
        <family val="2"/>
      </rPr>
      <t xml:space="preserve"> F</t>
    </r>
    <r>
      <rPr>
        <sz val="10"/>
        <rFont val="Arial"/>
        <family val="2"/>
      </rPr>
      <t xml:space="preserve">ill in numerical values only for dimensions (e.g. 30, not 30"):  </t>
    </r>
    <r>
      <rPr>
        <b/>
        <sz val="10"/>
        <rFont val="Arial"/>
        <family val="2"/>
      </rPr>
      <t>Master Pack</t>
    </r>
    <r>
      <rPr>
        <sz val="10"/>
        <rFont val="Arial"/>
        <family val="2"/>
      </rPr>
      <t xml:space="preserve"> Dimensions are for the shipping carton from the supplier to Big Lots DC.  </t>
    </r>
    <r>
      <rPr>
        <b/>
        <sz val="10"/>
        <rFont val="Arial"/>
        <family val="2"/>
      </rPr>
      <t xml:space="preserve">Inner Pack </t>
    </r>
    <r>
      <rPr>
        <sz val="10"/>
        <rFont val="Arial"/>
        <family val="2"/>
      </rPr>
      <t xml:space="preserve">Dimensions are for smaller pre-packs (carton, combo unit, etc.) within the Master Pack, if applicable, as it would be shipped from Big Lots DC to the Store. </t>
    </r>
    <r>
      <rPr>
        <b/>
        <sz val="10"/>
        <rFont val="Arial"/>
        <family val="2"/>
      </rPr>
      <t xml:space="preserve"> Selling Unit </t>
    </r>
    <r>
      <rPr>
        <sz val="10"/>
        <rFont val="Arial"/>
        <family val="2"/>
      </rPr>
      <t xml:space="preserve">Dimensions are for the individual item outside of any display packaging and fully assembled for sale to the customer. </t>
    </r>
    <r>
      <rPr>
        <b/>
        <sz val="10"/>
        <rFont val="Arial"/>
        <family val="2"/>
      </rPr>
      <t xml:space="preserve">  </t>
    </r>
    <r>
      <rPr>
        <sz val="10"/>
        <rFont val="Arial"/>
        <family val="2"/>
      </rPr>
      <t xml:space="preserve"> The </t>
    </r>
    <r>
      <rPr>
        <b/>
        <sz val="10"/>
        <rFont val="Arial"/>
        <family val="2"/>
      </rPr>
      <t xml:space="preserve">"Check if Pallet Shipment" </t>
    </r>
    <r>
      <rPr>
        <sz val="10"/>
        <rFont val="Arial"/>
        <family val="2"/>
      </rPr>
      <t xml:space="preserve">highlighed in yellow must be checked if this is how the product will be shipped.  If checked, the </t>
    </r>
    <r>
      <rPr>
        <b/>
        <sz val="10"/>
        <rFont val="Arial"/>
        <family val="2"/>
      </rPr>
      <t>Pieces per Pallet</t>
    </r>
    <r>
      <rPr>
        <sz val="10"/>
        <rFont val="Arial"/>
        <family val="2"/>
      </rPr>
      <t xml:space="preserve"> and </t>
    </r>
    <r>
      <rPr>
        <b/>
        <sz val="10"/>
        <rFont val="Arial"/>
        <family val="2"/>
      </rPr>
      <t xml:space="preserve">Pallets per Container </t>
    </r>
    <r>
      <rPr>
        <sz val="10"/>
        <rFont val="Arial"/>
        <family val="2"/>
      </rPr>
      <t>will be highlighted below to be completed.  Please note that all of the other item specifications (master carton cube, master pack, etc.) must be filled out in addition to pallet information for a rate to calculate, and Big Lots' Pallet Approval Process must be followed.</t>
    </r>
  </si>
  <si>
    <t>Unit FOB Cost (USD)</t>
  </si>
  <si>
    <t>HIT ENTERTAINMENT (TECHNICAL CHEMICAL)</t>
  </si>
  <si>
    <t xml:space="preserve">SISCO  (FIRST ALERT)                 </t>
  </si>
  <si>
    <t>SYRATECH</t>
  </si>
  <si>
    <t>MANLEY (AKA OCCASIONS, TOY GROUP)</t>
  </si>
  <si>
    <t>ISC</t>
  </si>
  <si>
    <t xml:space="preserve">ARBOR TOYS               </t>
  </si>
  <si>
    <t xml:space="preserve">BASIC FUN INC            </t>
  </si>
  <si>
    <t xml:space="preserve">BIG TIME TOYS            </t>
  </si>
  <si>
    <t xml:space="preserve">FRIENDLY GAMES WAY       </t>
  </si>
  <si>
    <t xml:space="preserve">K'NEX INDUSTRIES         </t>
  </si>
  <si>
    <t xml:space="preserve">LEAPFROG ENTERPRISES     </t>
  </si>
  <si>
    <t xml:space="preserve">MICRO GAMES OF AMERICA   </t>
  </si>
  <si>
    <t>NEW RAY TOYS</t>
  </si>
  <si>
    <t xml:space="preserve">NEW RAY TOYS CO LTD      </t>
  </si>
  <si>
    <t xml:space="preserve">OREGON SCIENTIFIC        </t>
  </si>
  <si>
    <t>TOY TECK</t>
  </si>
  <si>
    <t xml:space="preserve">VTECH INDUSTRIES         </t>
  </si>
  <si>
    <t>California Proposition 65 Compliance:</t>
  </si>
  <si>
    <t>Supplier Mfg #</t>
  </si>
  <si>
    <t>BHCWH – Boxed Header card with hanger</t>
  </si>
  <si>
    <t>CL – Color label</t>
  </si>
  <si>
    <t>CLG – Clings</t>
  </si>
  <si>
    <t>CLO – Clothing Label Logo</t>
  </si>
  <si>
    <t>CP – Corner Protector</t>
  </si>
  <si>
    <t>CTI – Candle Top Insert</t>
  </si>
  <si>
    <t>FHT – Folded Hang Tag</t>
  </si>
  <si>
    <t>FPLD – Full Palette Display</t>
  </si>
  <si>
    <t>GDSP – Gravity Drop Side Panel</t>
  </si>
  <si>
    <t>GT – Gift Tag</t>
  </si>
  <si>
    <t>HCWH – Header Card with Hanger</t>
  </si>
  <si>
    <t>HPLFLR – Half Palette Floor Display</t>
  </si>
  <si>
    <t>HTL – Heat Transfer Label</t>
  </si>
  <si>
    <t>PARTSP – Partitioned Side Panel</t>
  </si>
  <si>
    <t>PARTSP-HD – Partitioned Side Panel Heavy Duty</t>
  </si>
  <si>
    <t>PBWH – Polybag with Hanger</t>
  </si>
  <si>
    <t>PDQ-12-RFP – 12 inch w reinforced Front Panel</t>
  </si>
  <si>
    <t>PDQ-12-RFP+C – 12 inch w reinforced Front Panel plus Cover</t>
  </si>
  <si>
    <t>PDQ-12-RFSP – 12 inch w reinforced Front and Side Panel</t>
  </si>
  <si>
    <t>PDQ-12-RFSP-BND – 12 inch w reinforced Front and Side Panel For Binder</t>
  </si>
  <si>
    <t>PDQ-12-RFSP-BND+C – 12 inch w reinforced Front and Side Panel For Binder plus Cover</t>
  </si>
  <si>
    <t>PDQ-12-RFSP+C – 12 inch w reinforced Front and Side Panel plus Cover</t>
  </si>
  <si>
    <t>PDQ-12-RHWFP – 12 inch w reinforced High Wall Front Panel</t>
  </si>
  <si>
    <t>PDQ-12-RHWFP+C – 12 inch w reinforced High Wall Front Panel plus Cover</t>
  </si>
  <si>
    <t>PDQ-12-STK – 12 inch PDQ Stackable</t>
  </si>
  <si>
    <t>PDQ-12-STK+C – 12 inch PDQ Stackable plus Cover</t>
  </si>
  <si>
    <t>PDQ-24-RFP – 24 inch w reinforced Front Panel</t>
  </si>
  <si>
    <t>PDQ-24-RFP+C – 24 inch w reinforced Front Panel plus Cover</t>
  </si>
  <si>
    <t>PDQ-24-RFSP – 24 inch w reinforced Front and Side Panel</t>
  </si>
  <si>
    <t>PDQ-24-RFSP-BND – 24 inch w reinforced Front and Side Panel For Binder</t>
  </si>
  <si>
    <t>PDQ-24-RFSP-BND+C – 24 inch w reinforced Front and Side Panel For Binder plus Cover</t>
  </si>
  <si>
    <t>PDQ-24-RFSP+C – 24 inch w reinforced Front and Side Panel plus Cover</t>
  </si>
  <si>
    <t>PDQ-24-RHWFP – 24 inch w reinforced High Wall Front Panel</t>
  </si>
  <si>
    <t>PDQ-24-RHWFP+C – 24 inch w reinforced High Wall Front Panel plus Cover</t>
  </si>
  <si>
    <t>PDQ-24-STK – 24 inch Stackable PDQ</t>
  </si>
  <si>
    <t>PDQ-24-STK+C – 24 inch Stackable PDQ plus Cover</t>
  </si>
  <si>
    <t>PDQ-6-RFP – 6 inch w reinforced Front Panel</t>
  </si>
  <si>
    <t>PDQ-6-RFP+C – 6 inch w reinforced Front Panel plus Cover</t>
  </si>
  <si>
    <t>PDQ-6-RFSP – 6 inch w reinforced Front and Side Panel</t>
  </si>
  <si>
    <t>PDQ-6-RFSP+C – 6 inch w reinforced Front and Side Panel plus Cover</t>
  </si>
  <si>
    <t xml:space="preserve">PDQ-6-RHWFP – 6 inch w reinforced High Wall Front Panel </t>
  </si>
  <si>
    <t>PDQ-6-RHWFP+C – 6 inch w reinforced High Wall Front Panel plus Cover</t>
  </si>
  <si>
    <t>PDQ-APRM – Mens Softline Apparel PDQ</t>
  </si>
  <si>
    <t>PDQ-APRM+C – Mens Softline Apparel PDQ plus Cover</t>
  </si>
  <si>
    <t>PDQ-APRW – Womens Softline Apparel PDQ</t>
  </si>
  <si>
    <t>PDQ-APRW+C – Womens Softline Apparel PDQ plus Cover</t>
  </si>
  <si>
    <t>PDQ-DT – Display Tray</t>
  </si>
  <si>
    <t>PDQ-DT+C – Display Tray plus Cover</t>
  </si>
  <si>
    <t>PDQ-FLR – PDQ Floor Display</t>
  </si>
  <si>
    <t>PDQ-RFP – Other Size w reinforced Front Panel</t>
  </si>
  <si>
    <t>PDQ-RFP+C – Other Size w reinforced Front Panel plus Cover</t>
  </si>
  <si>
    <t>PDQ-RFS+C – Other Size w reinforced Front and Side Panel plus Cover</t>
  </si>
  <si>
    <t>PDQ-RFSP – Other Size w reinforced Front and Side Panel</t>
  </si>
  <si>
    <t>PDQ-RFSP+C – Other Size w reinforced Front and Side Panel plus Cover</t>
  </si>
  <si>
    <t>PDQ-RHWFP – Other Size w reinforced High Wall Front Panel</t>
  </si>
  <si>
    <t>PDQ-RHWFP+C – Other Size w reinforced High Wall Front Panel plus Cover</t>
  </si>
  <si>
    <t>PDQ-SILVER – Silver Holiday Jewelry Displays</t>
  </si>
  <si>
    <t>PDQ-SILVER+C – Silver Holiday Jewelry Displays plus Cover</t>
  </si>
  <si>
    <t>PDQ-SS – PDQ Stair Stepper</t>
  </si>
  <si>
    <t>PDQ-STK – Other Size Stackable PDQ</t>
  </si>
  <si>
    <t>PDQ-STK+C – Other Size Stackable PDQ plus COVER</t>
  </si>
  <si>
    <t>PSP-HD – Peg side panel Heavy Duty</t>
  </si>
  <si>
    <t>QPFLR – Quarter Palette Floor Display</t>
  </si>
  <si>
    <t>QPLDB – Quarter Palette Dump Bin</t>
  </si>
  <si>
    <t>RPF – Removable perf</t>
  </si>
  <si>
    <t>SIL – sewn in label</t>
  </si>
  <si>
    <t>SSP – Shelf Side Panel</t>
  </si>
  <si>
    <t>SSP-CAL-HD – Shelf Side Panel Calendar Heavy Duty</t>
  </si>
  <si>
    <t>SSP-HD – Shelf Side Panel Heavy Duty</t>
  </si>
  <si>
    <t>TOC – Tie On Card</t>
  </si>
  <si>
    <t>UC – U Card</t>
  </si>
  <si>
    <r>
      <t>PDQ_List</t>
    </r>
    <r>
      <rPr>
        <sz val="8"/>
        <rFont val="Calibri"/>
        <family val="2"/>
        <scheme val="minor"/>
      </rPr>
      <t xml:space="preserve"> (Last Update March 2016)</t>
    </r>
  </si>
  <si>
    <r>
      <t xml:space="preserve">Currency
</t>
    </r>
    <r>
      <rPr>
        <sz val="8"/>
        <color theme="1"/>
        <rFont val="Calibri"/>
        <family val="2"/>
        <scheme val="minor"/>
      </rPr>
      <t>(last update March 2016)</t>
    </r>
  </si>
  <si>
    <r>
      <t xml:space="preserve">Electronic rile for Pre PO IPDS  must be saved as - </t>
    </r>
    <r>
      <rPr>
        <b/>
        <sz val="10"/>
        <rFont val="Arial"/>
        <family val="2"/>
      </rPr>
      <t>P_Ratetype_vendoritem#_Description</t>
    </r>
    <r>
      <rPr>
        <sz val="10"/>
        <rFont val="Arial"/>
        <family val="2"/>
      </rPr>
      <t xml:space="preserve"> (For example : </t>
    </r>
    <r>
      <rPr>
        <b/>
        <sz val="10"/>
        <rFont val="Arial"/>
        <family val="2"/>
      </rPr>
      <t>P_LCL_12345_BluePlate</t>
    </r>
    <r>
      <rPr>
        <sz val="10"/>
        <rFont val="Arial"/>
        <family val="2"/>
      </rPr>
      <t>).</t>
    </r>
  </si>
  <si>
    <r>
      <t xml:space="preserve">Electronic file for Initial Quotes must be saved as – </t>
    </r>
    <r>
      <rPr>
        <b/>
        <sz val="10"/>
        <rFont val="Arial"/>
        <family val="2"/>
      </rPr>
      <t xml:space="preserve">Ratetype_vendoritem#_Description </t>
    </r>
    <r>
      <rPr>
        <sz val="10"/>
        <rFont val="Arial"/>
        <family val="2"/>
      </rPr>
      <t xml:space="preserve">  (For example:    </t>
    </r>
    <r>
      <rPr>
        <b/>
        <sz val="10"/>
        <rFont val="Arial"/>
        <family val="2"/>
      </rPr>
      <t>LCL_12345_BluePlate</t>
    </r>
    <r>
      <rPr>
        <sz val="10"/>
        <rFont val="Arial"/>
        <family val="2"/>
      </rPr>
      <t>).</t>
    </r>
  </si>
  <si>
    <t xml:space="preserve">AMES TRUE TEMPER         </t>
  </si>
  <si>
    <t>Dormant</t>
  </si>
  <si>
    <t xml:space="preserve">CARDINAL INDUSTRIES   (RED BIRD)   </t>
  </si>
  <si>
    <t xml:space="preserve">COLORBOK                 </t>
  </si>
  <si>
    <t>Delete</t>
  </si>
  <si>
    <t xml:space="preserve">FIESTA GAS GRILL LLC     </t>
  </si>
  <si>
    <t xml:space="preserve">FISKARS BRANDS INC       </t>
  </si>
  <si>
    <t xml:space="preserve">FISKARS CANADA INC       </t>
  </si>
  <si>
    <t xml:space="preserve">GEMMY INDUSTRIES, INC    </t>
  </si>
  <si>
    <t xml:space="preserve">HOMEDICS (HONG KONG) LTD </t>
  </si>
  <si>
    <t xml:space="preserve">INTERNATIONAL SILVER     </t>
  </si>
  <si>
    <t xml:space="preserve">LIFETIME HOAN            </t>
  </si>
  <si>
    <t>MANLEY</t>
  </si>
  <si>
    <t xml:space="preserve">MASTERPIECES PUZZLE CO   </t>
  </si>
  <si>
    <t>MOOSE TOYS</t>
  </si>
  <si>
    <t xml:space="preserve">MR CHRISTMAS             </t>
  </si>
  <si>
    <t xml:space="preserve">RAWLINGS SPORTING GOODS  </t>
  </si>
  <si>
    <t xml:space="preserve">RAZOR USA LLC            </t>
  </si>
  <si>
    <t>RAZOR USA LLC- PLEASE USE</t>
  </si>
  <si>
    <t>RED BIRD HONG KONG (CARDINAL)</t>
  </si>
  <si>
    <t>SAKAR INTERNATIONAL INC. (Vivitar Sankar)</t>
  </si>
  <si>
    <t>Sinomax</t>
  </si>
  <si>
    <t>T-FAL(GROUP SEB)</t>
  </si>
  <si>
    <t xml:space="preserve">THERMOS                  </t>
  </si>
  <si>
    <t>VIVITAR SAKAR (Sankar International)</t>
  </si>
  <si>
    <t xml:space="preserve">WOODS INDUSTRIES         </t>
  </si>
  <si>
    <r>
      <t xml:space="preserve">Package_Type </t>
    </r>
    <r>
      <rPr>
        <sz val="8"/>
        <rFont val="Calibri"/>
        <family val="2"/>
        <scheme val="minor"/>
      </rPr>
      <t xml:space="preserve"> (Last Update March 2016)</t>
    </r>
  </si>
  <si>
    <r>
      <t xml:space="preserve">Electronic file for final IPDS sheets (post purchase order) must be saved as  - </t>
    </r>
    <r>
      <rPr>
        <b/>
        <sz val="10"/>
        <rFont val="Arial"/>
        <family val="2"/>
      </rPr>
      <t>BLArticle#_VendorItem#_Description</t>
    </r>
    <r>
      <rPr>
        <sz val="10"/>
        <rFont val="Arial"/>
        <family val="2"/>
      </rPr>
      <t xml:space="preserve">  (For example:  </t>
    </r>
    <r>
      <rPr>
        <b/>
        <sz val="10"/>
        <rFont val="Arial"/>
        <family val="2"/>
      </rPr>
      <t>123456_7865_BluePlate</t>
    </r>
    <r>
      <rPr>
        <sz val="10"/>
        <rFont val="Arial"/>
        <family val="2"/>
      </rPr>
      <t>).  One file per Article.</t>
    </r>
  </si>
  <si>
    <r>
      <t xml:space="preserve">Electronic file for NVO Final IPDS sheets (post purchase order) must be saved as  -NVO_ </t>
    </r>
    <r>
      <rPr>
        <b/>
        <sz val="10"/>
        <rFont val="Arial"/>
        <family val="2"/>
      </rPr>
      <t>BLArticle#_VendorItem#_Description</t>
    </r>
    <r>
      <rPr>
        <sz val="10"/>
        <rFont val="Arial"/>
        <family val="2"/>
      </rPr>
      <t xml:space="preserve">  (For example:  </t>
    </r>
    <r>
      <rPr>
        <b/>
        <sz val="10"/>
        <rFont val="Arial"/>
        <family val="2"/>
      </rPr>
      <t>123456_7865_BluePlate</t>
    </r>
    <r>
      <rPr>
        <sz val="10"/>
        <rFont val="Arial"/>
        <family val="2"/>
      </rPr>
      <t>).  One file per Article.</t>
    </r>
  </si>
  <si>
    <r>
      <t xml:space="preserve">Electronic file for NVO Pre PO IPDS sheets (pre purchase order and we know the item will become NVO) must be saved as  - </t>
    </r>
    <r>
      <rPr>
        <b/>
        <sz val="10"/>
        <rFont val="Arial"/>
        <family val="2"/>
      </rPr>
      <t>NVOP_Ratetype_VendorItem#_Description</t>
    </r>
    <r>
      <rPr>
        <sz val="10"/>
        <rFont val="Arial"/>
        <family val="2"/>
      </rPr>
      <t xml:space="preserve">  (For example: </t>
    </r>
    <r>
      <rPr>
        <b/>
        <sz val="10"/>
        <rFont val="Arial"/>
        <family val="2"/>
      </rPr>
      <t>NVOP_LCL_12345_BluePlate</t>
    </r>
    <r>
      <rPr>
        <sz val="10"/>
        <rFont val="Arial"/>
        <family val="2"/>
      </rPr>
      <t>).  One file per Article.</t>
    </r>
  </si>
  <si>
    <t>IPDS 10.7</t>
  </si>
  <si>
    <t>EFFECTIVE DATE: February 2018</t>
  </si>
  <si>
    <t>Revised Feb 2018</t>
  </si>
  <si>
    <t>Division Number</t>
  </si>
  <si>
    <t>Claim</t>
  </si>
  <si>
    <t>0 Trans Fat</t>
  </si>
  <si>
    <t>100% Cane Sugar</t>
  </si>
  <si>
    <t>100% Coconut Oil</t>
  </si>
  <si>
    <t>Bleached</t>
  </si>
  <si>
    <t>Cholesterol Free</t>
  </si>
  <si>
    <t>Enriched</t>
  </si>
  <si>
    <t>Fat Free</t>
  </si>
  <si>
    <t>Freshness Guaranteed</t>
  </si>
  <si>
    <t>Gluten Free</t>
  </si>
  <si>
    <t>Good Source of Fiber</t>
  </si>
  <si>
    <t>Kosher</t>
  </si>
  <si>
    <t>Low Carb</t>
  </si>
  <si>
    <t>Low Cholesterol</t>
  </si>
  <si>
    <t>Low Fat</t>
  </si>
  <si>
    <t>Low Sodium</t>
  </si>
  <si>
    <t>% more FREE</t>
  </si>
  <si>
    <t>No Preservatives</t>
  </si>
  <si>
    <t>No Solvents</t>
  </si>
  <si>
    <t>Non-BPA</t>
  </si>
  <si>
    <t>Non-GMO</t>
  </si>
  <si>
    <t>Non-GMO Certified</t>
  </si>
  <si>
    <t>Oil Blend %</t>
  </si>
  <si>
    <t>Organic</t>
  </si>
  <si>
    <t>Packed in USA</t>
  </si>
  <si>
    <t>Refined</t>
  </si>
  <si>
    <t>Sodium Free</t>
  </si>
  <si>
    <t>Unrefined</t>
  </si>
  <si>
    <t>Vegan</t>
  </si>
  <si>
    <t>Whole Grain</t>
  </si>
  <si>
    <t>Consumables</t>
  </si>
  <si>
    <t>Seasonal</t>
  </si>
  <si>
    <t>Soft Home</t>
  </si>
  <si>
    <t>Hard Home</t>
  </si>
  <si>
    <t>Furniture</t>
  </si>
  <si>
    <t>Divisions</t>
  </si>
  <si>
    <t>Division</t>
  </si>
  <si>
    <t>Lookup</t>
  </si>
  <si>
    <t>X-Ref</t>
  </si>
  <si>
    <t>1. Select Division</t>
  </si>
  <si>
    <t>2. Select all applicable claims:</t>
  </si>
  <si>
    <t>Claim #1</t>
  </si>
  <si>
    <t>Claim #2</t>
  </si>
  <si>
    <t>Claim #3</t>
  </si>
  <si>
    <t>Claim #4</t>
  </si>
  <si>
    <t>Claim #5</t>
  </si>
  <si>
    <t>Claim #6</t>
  </si>
  <si>
    <t>Claim #7</t>
  </si>
  <si>
    <t>If you selected OTHER, list here</t>
  </si>
  <si>
    <t>100% cotton without Logo</t>
  </si>
  <si>
    <t>Actual Pill Size</t>
  </si>
  <si>
    <t>As Seen on TV</t>
  </si>
  <si>
    <t>Compares to</t>
  </si>
  <si>
    <t>Fade Resistant</t>
  </si>
  <si>
    <t>Made In USA</t>
  </si>
  <si>
    <t>Strengthening</t>
  </si>
  <si>
    <t>Waterproof</t>
  </si>
  <si>
    <t>Natural</t>
  </si>
  <si>
    <t>Eco Friendly</t>
  </si>
  <si>
    <t>Not Tested on Animals</t>
  </si>
  <si>
    <t>Dentist Recommended</t>
  </si>
  <si>
    <t>Absorbency Scale</t>
  </si>
  <si>
    <t>Maximum Absorbency</t>
  </si>
  <si>
    <t>Triple Tier Moisture Blocking System</t>
  </si>
  <si>
    <t>Moderate Absorbency</t>
  </si>
  <si>
    <t>Strong enough to use overnight</t>
  </si>
  <si>
    <t>Does not contain Cotton</t>
  </si>
  <si>
    <t>Unscented</t>
  </si>
  <si>
    <t>Leakage Protection</t>
  </si>
  <si>
    <t>Rapid Absorption</t>
  </si>
  <si>
    <t>Fast Acting</t>
  </si>
  <si>
    <t>Vanishing Scent</t>
  </si>
  <si>
    <t>Extra Strength</t>
  </si>
  <si>
    <t>Non-habit forming</t>
  </si>
  <si>
    <t>Does not contain Pain Reliever</t>
  </si>
  <si>
    <t>Pain Reliever</t>
  </si>
  <si>
    <t>Fever Reducer</t>
  </si>
  <si>
    <t>Stimulant Free</t>
  </si>
  <si>
    <t>Doctor Recommended</t>
  </si>
  <si>
    <t>Alcohol Percentage</t>
  </si>
  <si>
    <t>Maximum Strength</t>
  </si>
  <si>
    <t>Non-Drowsy</t>
  </si>
  <si>
    <t>Aids in Weight Loss</t>
  </si>
  <si>
    <t>Cough Suppressant</t>
  </si>
  <si>
    <t>Antihistamine</t>
  </si>
  <si>
    <t>Antihistamine Free</t>
  </si>
  <si>
    <t>Strength - up to</t>
  </si>
  <si>
    <t>Relieves Symptoms in 24 hours</t>
  </si>
  <si>
    <t>Prevents Heartburn</t>
  </si>
  <si>
    <t>Peak Cold</t>
  </si>
  <si>
    <t>Expectorant</t>
  </si>
  <si>
    <t>No Drip Pump</t>
  </si>
  <si>
    <t>Drug Facts</t>
  </si>
  <si>
    <t>Kill Bacteria</t>
  </si>
  <si>
    <t>Antibacterial</t>
  </si>
  <si>
    <t>Prevents Infection</t>
  </si>
  <si>
    <t>Septic Safe</t>
  </si>
  <si>
    <t># of Double Rolls = # of Regular Rolls</t>
  </si>
  <si>
    <t>Rainforest Alliance Certified</t>
  </si>
  <si>
    <t>Heartburn Relief</t>
  </si>
  <si>
    <t>Alcohol Free</t>
  </si>
  <si>
    <t>Nasal Decongestant</t>
  </si>
  <si>
    <t>Relieves</t>
  </si>
  <si>
    <t>#1 Adult Nasal Spray Active Ingredient</t>
  </si>
  <si>
    <t>Stress Reliever</t>
  </si>
  <si>
    <t>Mineral Oils</t>
  </si>
  <si>
    <t>Quality Assured</t>
  </si>
  <si>
    <t>Absorption of Secretion</t>
  </si>
  <si>
    <t>Promotes Healing</t>
  </si>
  <si>
    <t>Reduces</t>
  </si>
  <si>
    <t>Protects from Dirt &amp; Other Contaminates</t>
  </si>
  <si>
    <t>Safe for daily use</t>
  </si>
  <si>
    <t>Relief of</t>
  </si>
  <si>
    <t>Instantly soothes</t>
  </si>
  <si>
    <t>Heavy Duty Adhesive</t>
  </si>
  <si>
    <t>Gynecologist Tested</t>
  </si>
  <si>
    <t>Dermatologist Tested</t>
  </si>
  <si>
    <t>Treats frequent Heartburn</t>
  </si>
  <si>
    <t>Sterile</t>
  </si>
  <si>
    <t>Long Lasting</t>
  </si>
  <si>
    <t>Non-staining</t>
  </si>
  <si>
    <t>Greaseless</t>
  </si>
  <si>
    <t>Cures most Athletes Feet</t>
  </si>
  <si>
    <t>Whitens &amp; Brightens</t>
  </si>
  <si>
    <t>Controls Denture Odor</t>
  </si>
  <si>
    <t>Ibuprofen Free</t>
  </si>
  <si>
    <t>Aspirin Free</t>
  </si>
  <si>
    <t>#1 Sleep Aid Active Ingredient</t>
  </si>
  <si>
    <t>Exfoliates</t>
  </si>
  <si>
    <t>Gently Eliminates Oil &amp; Bacteria</t>
  </si>
  <si>
    <t>Removes</t>
  </si>
  <si>
    <t>Promotes</t>
  </si>
  <si>
    <t>Eliminates Odor</t>
  </si>
  <si>
    <t>More Absorbent than Leading Brands</t>
  </si>
  <si>
    <t>Built in Attractant</t>
  </si>
  <si>
    <t>Eliminates Tracking</t>
  </si>
  <si>
    <t>Tear Resistant Top Sheet</t>
  </si>
  <si>
    <t>Scented</t>
  </si>
  <si>
    <t>Provides immediate absorption to prevent tracking &amp; leaking</t>
  </si>
  <si>
    <t>Stop Smoking Aid</t>
  </si>
  <si>
    <t>15% Larger Moisture Halo</t>
  </si>
  <si>
    <t>Lubricating Strip</t>
  </si>
  <si>
    <t>Forest Stewardship Council</t>
  </si>
  <si>
    <t>100% Recycled</t>
  </si>
  <si>
    <t>With Aloe</t>
  </si>
  <si>
    <t>Slimmer Applicator</t>
  </si>
  <si>
    <t>Hours of Protection</t>
  </si>
  <si>
    <t>Slip Resistant Grip</t>
  </si>
  <si>
    <t>Fragrance Free</t>
  </si>
  <si>
    <t>Non-comedogenic</t>
  </si>
  <si>
    <t>Oil Free</t>
  </si>
  <si>
    <t>With</t>
  </si>
  <si>
    <t>Helps</t>
  </si>
  <si>
    <t>For Face &amp; Body</t>
  </si>
  <si>
    <t>First Aid Antiseptic</t>
  </si>
  <si>
    <t>Moisturizing</t>
  </si>
  <si>
    <t>Anti-Dandruff</t>
  </si>
  <si>
    <t>Hydrating</t>
  </si>
  <si>
    <t>Nutri-Lock Blend</t>
  </si>
  <si>
    <t>Anti-cavity</t>
  </si>
  <si>
    <t>Oral Solution USP</t>
  </si>
  <si>
    <t>Saline Laxative</t>
  </si>
  <si>
    <t>Pasteurized</t>
  </si>
  <si>
    <t>New &amp; Improved Quality</t>
  </si>
  <si>
    <t>Hypoallergenic</t>
  </si>
  <si>
    <t>100% cotton with Logo</t>
  </si>
  <si>
    <t>Made In USA from Domestic and Imported material</t>
  </si>
  <si>
    <t>Sugar Free</t>
  </si>
  <si>
    <t>Heart Health Support</t>
  </si>
  <si>
    <t>Energy Support</t>
  </si>
  <si>
    <t>Sleep Support</t>
  </si>
  <si>
    <t>Hair, Skin &amp; Nail Support</t>
  </si>
  <si>
    <t>Immune Support</t>
  </si>
  <si>
    <t>Metabolism Support</t>
  </si>
  <si>
    <t>Digestive and Immune Support</t>
  </si>
  <si>
    <t>Antioxidant Support</t>
  </si>
  <si>
    <t>Precise Fit</t>
  </si>
  <si>
    <t>Instant Dry Feeling</t>
  </si>
  <si>
    <t>Liquid Block System</t>
  </si>
  <si>
    <t>Anti-pilling</t>
  </si>
  <si>
    <t>Certifications and Seals of Approvals</t>
  </si>
  <si>
    <t>PVC Free</t>
  </si>
  <si>
    <t>Shatterproof</t>
  </si>
  <si>
    <t>UL listed</t>
  </si>
  <si>
    <t>100% Polyester</t>
  </si>
  <si>
    <t>Weather Resistant</t>
  </si>
  <si>
    <t>Powder Coated Steel Frame</t>
  </si>
  <si>
    <t>Anti-Stain Finish</t>
  </si>
  <si>
    <t>Tempered Glass</t>
  </si>
  <si>
    <t>Weight Limit</t>
  </si>
  <si>
    <t>Hand Woven</t>
  </si>
  <si>
    <t>All Weather</t>
  </si>
  <si>
    <t>Olefin Fabric</t>
  </si>
  <si>
    <t>Automatically turns on at dusk for up to 8 hours of nighttime illumination.</t>
  </si>
  <si>
    <t>Break Resistant</t>
  </si>
  <si>
    <t>Bulb Life</t>
  </si>
  <si>
    <t>Indoor/Outdoor</t>
  </si>
  <si>
    <t>Chip Resistant</t>
  </si>
  <si>
    <t>String Lights Connected up to</t>
  </si>
  <si>
    <t>Anti-Fog</t>
  </si>
  <si>
    <t>Keep Dry</t>
  </si>
  <si>
    <t>Leak-Free</t>
  </si>
  <si>
    <t>Shatter Resistant</t>
  </si>
  <si>
    <t>LED</t>
  </si>
  <si>
    <t>ETL Listed</t>
  </si>
  <si>
    <t>Steel Frame</t>
  </si>
  <si>
    <t>Overall Size</t>
  </si>
  <si>
    <t>BTUs</t>
  </si>
  <si>
    <t>OTHER (Describe Below)</t>
  </si>
  <si>
    <t>BPA Free</t>
  </si>
  <si>
    <t>Fits Mattresses up to</t>
  </si>
  <si>
    <t>Oeko-tex certified</t>
  </si>
  <si>
    <t>PEVA</t>
  </si>
  <si>
    <t>Wrinkle Resistant</t>
  </si>
  <si>
    <t>Pill resistant</t>
  </si>
  <si>
    <t>Stain Resistant</t>
  </si>
  <si>
    <t>Skid Resistant Back</t>
  </si>
  <si>
    <t>Blackout</t>
  </si>
  <si>
    <t>100% Cotton Exclusive of Stripping</t>
  </si>
  <si>
    <t>Anti-molding</t>
  </si>
  <si>
    <t>Low Linting</t>
  </si>
  <si>
    <t>Quick Dry</t>
  </si>
  <si>
    <t>Rust Resistant</t>
  </si>
  <si>
    <t>Prevents Rust Build-up</t>
  </si>
  <si>
    <t>Made of Vinyl Coated Steel</t>
  </si>
  <si>
    <t>Freezer Safe</t>
  </si>
  <si>
    <t>Microwave Safe</t>
  </si>
  <si>
    <t>Leak Proof</t>
  </si>
  <si>
    <t>Dishwasher Safe</t>
  </si>
  <si>
    <t>Oven Safe Temperature</t>
  </si>
  <si>
    <t>Teflon</t>
  </si>
  <si>
    <t>Nonstick Coating</t>
  </si>
  <si>
    <t>Resistant against</t>
  </si>
  <si>
    <t>Eco Friendly Bamboo</t>
  </si>
  <si>
    <t>Leak Resistant</t>
  </si>
  <si>
    <t>Top Rack Dishwasher Safe</t>
  </si>
  <si>
    <t>Stainless Steel</t>
  </si>
  <si>
    <t>Even Heat Distribution</t>
  </si>
  <si>
    <t>Low Odor</t>
  </si>
  <si>
    <t>Non-Toxic</t>
  </si>
  <si>
    <t>Conforms to ASTM-D4236</t>
  </si>
  <si>
    <t>Smear Resistant</t>
  </si>
  <si>
    <t>Odorless</t>
  </si>
  <si>
    <t>PFOA Free</t>
  </si>
  <si>
    <t>Washable</t>
  </si>
  <si>
    <t>PTFE Free</t>
  </si>
  <si>
    <t>Works on all stove tops</t>
  </si>
  <si>
    <t>Heatproof protection for hands up to 450° F</t>
  </si>
  <si>
    <t>Made with real Wood</t>
  </si>
  <si>
    <t>Electronics &amp; Accessories</t>
  </si>
  <si>
    <t>Water Resistant</t>
  </si>
  <si>
    <t>Made in the USA</t>
  </si>
  <si>
    <t>Durable Fabric</t>
  </si>
  <si>
    <t>Bluetooth</t>
  </si>
  <si>
    <t>Heats up to</t>
  </si>
  <si>
    <t>Realistic Flame Technology</t>
  </si>
  <si>
    <t>Remote Control</t>
  </si>
  <si>
    <t>Touchscreen Controls</t>
  </si>
  <si>
    <t>Watts of Heating Power</t>
  </si>
  <si>
    <t>Made of</t>
  </si>
  <si>
    <t>CFL Bulb Less Energy, Longer Lasting</t>
  </si>
  <si>
    <t>Auto High Temperature Shut Off</t>
  </si>
  <si>
    <t>Non-Slip Backing</t>
  </si>
  <si>
    <r>
      <rPr>
        <b/>
        <sz val="10"/>
        <rFont val="Arial"/>
        <family val="2"/>
      </rPr>
      <t>Please provide product features and benefits that are appropriate for copy on display package and in advertising.</t>
    </r>
    <r>
      <rPr>
        <sz val="10"/>
        <rFont val="Arial"/>
        <family val="2"/>
      </rPr>
      <t xml:space="preserve">
Features and benefits may include the following as applicable to the product:  description of what item does or is used for, item dimensions, materials, assembly requirements, assembled size, battery requirements / inclusion, power requirements, age ratings, caution statements, other benefits to the end-use consumer
</t>
    </r>
  </si>
  <si>
    <t>Supplier represents and warrants that all information contained on this Import Product Data Sheet (“IPDS”) is correct; Supplier can substantiate all information and claims contained in the IPDS; the goods identified will comply with all legal and regulatory requirements, including those governing the safety of the goods and intellectual property rights (“IP”) (including, but not limited to, patents, trade secrets, trademarks and copyrights); and that it owns all IP covering the goods or has obtained all necessary permissions and licenses (which shall be produced upon request) to make, have made and sell to Big Lots (“BL”) (including for resale).  This IPDS, together with BL’s Purchase Order Terms and Conditions (together, “Terms”), shall govern Supplier’s sale of the goods to BL.  In addition to all other available remedies, BL shall have the right to deduct any monies due to Supplier as a remedy for any breach or claimed breach of these Terms.  Supplier, by submitting this IPDS, agrees to the Terms and otherwise to indemnify, defend (at BL’s option) and hold harmless BL and its affiliates from all liabilities, costs, losses and claims arising from Supplier's breach or claimed breach of these Terms.</t>
  </si>
  <si>
    <t>Aprima</t>
  </si>
  <si>
    <t>Arctic Trail</t>
  </si>
  <si>
    <t>Climate Keeper</t>
  </si>
  <si>
    <t>Fresh Finds</t>
  </si>
  <si>
    <t>Game Day Gear</t>
  </si>
  <si>
    <t>Great Gatherings</t>
  </si>
  <si>
    <t>Just Home</t>
  </si>
  <si>
    <t>Living Colors</t>
  </si>
  <si>
    <t>Master Cuisine</t>
  </si>
  <si>
    <t>Play Zone</t>
  </si>
  <si>
    <t>Shop Basics</t>
  </si>
  <si>
    <t>Sound Body</t>
  </si>
  <si>
    <t>Stratford</t>
  </si>
  <si>
    <t>Stratolounger</t>
  </si>
  <si>
    <t>Wilson &amp; Fisher</t>
  </si>
  <si>
    <t>Winter Wonder Lane</t>
  </si>
  <si>
    <t>PERFECT FIT</t>
  </si>
  <si>
    <t>2/22/2018</t>
  </si>
  <si>
    <t>Toy Quest Ltd.(MANLEY)</t>
  </si>
  <si>
    <r>
      <t xml:space="preserve">Brand Vend #  (Last Update </t>
    </r>
    <r>
      <rPr>
        <b/>
        <sz val="8"/>
        <color rgb="FFFF0000"/>
        <rFont val="Calibri"/>
        <family val="2"/>
        <scheme val="minor"/>
      </rPr>
      <t>2/13/18)</t>
    </r>
  </si>
  <si>
    <r>
      <t xml:space="preserve">Brand </t>
    </r>
    <r>
      <rPr>
        <sz val="8"/>
        <rFont val="Calibri"/>
        <family val="2"/>
        <scheme val="minor"/>
      </rPr>
      <t xml:space="preserve">(Last Update </t>
    </r>
    <r>
      <rPr>
        <sz val="8"/>
        <color rgb="FFFF0000"/>
        <rFont val="Calibri"/>
        <family val="2"/>
        <scheme val="minor"/>
      </rPr>
      <t>Feb 2018)</t>
    </r>
  </si>
  <si>
    <t>Claims:</t>
  </si>
  <si>
    <t>Costa Rica, Puerto Limon</t>
  </si>
  <si>
    <r>
      <t xml:space="preserve">Check Box(es) as appropriate for Proposition 65 Testing:
- </t>
    </r>
    <r>
      <rPr>
        <b/>
        <sz val="10"/>
        <rFont val="Arial"/>
        <family val="2"/>
      </rPr>
      <t>Prop 65</t>
    </r>
    <r>
      <rPr>
        <sz val="10"/>
        <rFont val="Arial"/>
        <family val="2"/>
      </rPr>
      <t>: Check any boxes that apply to product.</t>
    </r>
  </si>
  <si>
    <r>
      <t xml:space="preserve">Populate </t>
    </r>
    <r>
      <rPr>
        <b/>
        <sz val="10"/>
        <rFont val="Arial"/>
        <family val="2"/>
      </rPr>
      <t>HTS Code (Tariff #)</t>
    </r>
    <r>
      <rPr>
        <sz val="10"/>
        <rFont val="Arial"/>
        <family val="2"/>
      </rPr>
      <t xml:space="preserve">, </t>
    </r>
    <r>
      <rPr>
        <b/>
        <sz val="10"/>
        <rFont val="Arial"/>
        <family val="2"/>
      </rPr>
      <t>Duty %</t>
    </r>
    <r>
      <rPr>
        <sz val="10"/>
        <rFont val="Arial"/>
        <family val="2"/>
      </rPr>
      <t xml:space="preserve">, and </t>
    </r>
    <r>
      <rPr>
        <b/>
        <sz val="10"/>
        <rFont val="Arial"/>
        <family val="2"/>
      </rPr>
      <t>Quota Category</t>
    </r>
    <r>
      <rPr>
        <sz val="10"/>
        <rFont val="Arial"/>
        <family val="2"/>
      </rPr>
      <t xml:space="preserve">.  Check if  </t>
    </r>
    <r>
      <rPr>
        <b/>
        <sz val="10"/>
        <rFont val="Arial"/>
        <family val="2"/>
      </rPr>
      <t>US Anti-Dumping Duty</t>
    </r>
    <r>
      <rPr>
        <sz val="10"/>
        <rFont val="Arial"/>
        <family val="2"/>
      </rPr>
      <t xml:space="preserve"> is applicable.  Select 'yes' or 'no' from dropdown menu for </t>
    </r>
    <r>
      <rPr>
        <b/>
        <sz val="10"/>
        <rFont val="Arial"/>
        <family val="2"/>
      </rPr>
      <t>GSP Eligible</t>
    </r>
    <r>
      <rPr>
        <sz val="10"/>
        <rFont val="Arial"/>
        <family val="2"/>
      </rPr>
      <t xml:space="preserve">.  If 'yes' is selected, supplier must comply with GSP requirements as defined in Big Lots supplier manual.  Populate the </t>
    </r>
    <r>
      <rPr>
        <b/>
        <sz val="10"/>
        <rFont val="Arial"/>
        <family val="2"/>
      </rPr>
      <t>Defective Allowance (DA)</t>
    </r>
    <r>
      <rPr>
        <sz val="10"/>
        <rFont val="Arial"/>
        <family val="2"/>
      </rPr>
      <t xml:space="preserve"> percentage required by the buyer based on the historical defective percentage of the category.  </t>
    </r>
    <r>
      <rPr>
        <b/>
        <sz val="10"/>
        <rFont val="Arial"/>
        <family val="2"/>
      </rPr>
      <t>Freight Rate / Cubic Foot</t>
    </r>
    <r>
      <rPr>
        <sz val="10"/>
        <rFont val="Arial"/>
        <family val="2"/>
      </rPr>
      <t xml:space="preserve"> calculates automatically from the selections made in the FOB Point and Rate Type fields and cannot be entered manually.</t>
    </r>
  </si>
  <si>
    <t>Under Claims- #1.   select Div # or none of there are no claims -  #2.   select all claims from drop down list associated with this item.  If more than 7 claims associated with this item enter in "Other" field.</t>
  </si>
  <si>
    <t>It's a Keeper</t>
  </si>
  <si>
    <t>NONE:</t>
  </si>
  <si>
    <r>
      <t xml:space="preserve">Select a Division name to complete the claim section or select </t>
    </r>
    <r>
      <rPr>
        <b/>
        <sz val="10"/>
        <rFont val="Arial"/>
        <family val="2"/>
      </rPr>
      <t>NONE</t>
    </r>
    <r>
      <rPr>
        <sz val="10"/>
        <rFont val="Arial"/>
        <family val="2"/>
      </rPr>
      <t xml:space="preserve"> if there is nothing to report.</t>
    </r>
  </si>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</sst>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3" formatCode="_(* #,##0.00_);_(* \(#,##0.00\);_(* &quot;-&quot;??_);_(@_)"/>
    <numFmt numFmtId="164" formatCode="mm/dd/yy;@"/>
    <numFmt numFmtId="165" formatCode="&quot;$&quot;#,##0.00"/>
    <numFmt numFmtId="166" formatCode="0_);[Red]\(0\)"/>
    <numFmt numFmtId="167" formatCode="0.0"/>
    <numFmt numFmtId="168" formatCode="0\-00000\-00000\-0"/>
    <numFmt numFmtId="169" formatCode="0\-000000\-000000"/>
    <numFmt numFmtId="170" formatCode="m/d/yy;@"/>
    <numFmt numFmtId="171" formatCode="0.000"/>
  </numFmts>
  <fonts count="50" x14ac:knownFonts="1">
    <font>
      <sz val="10"/>
      <name val="Arial"/>
    </font>
    <font>
      <sz val="10"/>
      <name val="Arial"/>
      <family val="2"/>
    </font>
    <font>
      <sz val="8"/>
      <name val="Arial"/>
      <family val="2"/>
    </font>
    <font>
      <sz val="8"/>
      <name val="Arial"/>
      <family val="2"/>
    </font>
    <font>
      <b/>
      <sz val="10"/>
      <name val="Arial"/>
      <family val="2"/>
    </font>
    <font>
      <b/>
      <sz val="8"/>
      <name val="Arial"/>
      <family val="2"/>
    </font>
    <font>
      <b/>
      <u/>
      <sz val="8"/>
      <name val="Arial"/>
      <family val="2"/>
    </font>
    <font>
      <b/>
      <u/>
      <sz val="10"/>
      <name val="Arial"/>
      <family val="2"/>
    </font>
    <font>
      <u/>
      <sz val="16"/>
      <name val="Arial"/>
      <family val="2"/>
    </font>
    <font>
      <sz val="12"/>
      <name val="Arial"/>
      <family val="2"/>
    </font>
    <font>
      <b/>
      <sz val="8"/>
      <name val="Arial"/>
      <family val="2"/>
    </font>
    <font>
      <sz val="7"/>
      <name val="Arial"/>
      <family val="2"/>
    </font>
    <font>
      <b/>
      <sz val="12"/>
      <name val="Arial"/>
      <family val="2"/>
    </font>
    <font>
      <b/>
      <u/>
      <sz val="16"/>
      <name val="Arial"/>
      <family val="2"/>
    </font>
    <font>
      <b/>
      <i/>
      <sz val="12"/>
      <name val="Arial"/>
      <family val="2"/>
    </font>
    <font>
      <sz val="9"/>
      <name val="Arial"/>
      <family val="2"/>
    </font>
    <font>
      <sz val="8"/>
      <name val="Arial"/>
      <family val="2"/>
    </font>
    <font>
      <b/>
      <sz val="14"/>
      <name val="Arial"/>
      <family val="2"/>
    </font>
    <font>
      <sz val="10"/>
      <name val="Arial"/>
      <family val="2"/>
    </font>
    <font>
      <b/>
      <i/>
      <sz val="12"/>
      <color theme="1"/>
      <name val="Calibri"/>
      <family val="2"/>
      <scheme val="minor"/>
    </font>
    <font>
      <sz val="16"/>
      <color theme="1"/>
      <name val="Calibri"/>
      <family val="2"/>
      <scheme val="minor"/>
    </font>
    <font>
      <sz val="12"/>
      <name val="Times New Roman"/>
      <family val="1"/>
    </font>
    <font>
      <sz val="11"/>
      <name val="Arial"/>
      <family val="2"/>
    </font>
    <font>
      <sz val="10"/>
      <name val="Times New Roman"/>
      <family val="1"/>
    </font>
    <font>
      <sz val="8"/>
      <name val="Calibri"/>
      <family val="2"/>
      <scheme val="minor"/>
    </font>
    <font>
      <b/>
      <sz val="8"/>
      <color theme="1"/>
      <name val="Calibri"/>
      <family val="2"/>
      <scheme val="minor"/>
    </font>
    <font>
      <sz val="8"/>
      <color rgb="FFFF0000"/>
      <name val="Calibri"/>
      <family val="2"/>
      <scheme val="minor"/>
    </font>
    <font>
      <b/>
      <sz val="8"/>
      <color rgb="FFFF0000"/>
      <name val="Calibri"/>
      <family val="2"/>
      <scheme val="minor"/>
    </font>
    <font>
      <b/>
      <sz val="8"/>
      <name val="Calibri"/>
      <family val="2"/>
      <scheme val="minor"/>
    </font>
    <font>
      <b/>
      <sz val="7"/>
      <name val="Arial"/>
      <family val="2"/>
    </font>
    <font>
      <sz val="8"/>
      <color theme="1"/>
      <name val="Calibri"/>
      <family val="2"/>
      <scheme val="minor"/>
    </font>
    <font>
      <sz val="8"/>
      <color rgb="FF000000"/>
      <name val="Tahoma"/>
      <family val="2"/>
    </font>
    <font>
      <b/>
      <sz val="9"/>
      <name val="Calibri"/>
      <family val="2"/>
      <scheme val="minor"/>
    </font>
    <font>
      <sz val="6"/>
      <name val="Arial"/>
      <family val="2"/>
    </font>
    <font>
      <i/>
      <sz val="12"/>
      <name val="Arial"/>
      <family val="2"/>
    </font>
    <font>
      <sz val="10"/>
      <color rgb="FFFF0000"/>
      <name val="Arial"/>
      <family val="2"/>
    </font>
    <font>
      <sz val="8"/>
      <color rgb="FFFF0000"/>
      <name val="Arial"/>
      <family val="2"/>
    </font>
    <font>
      <b/>
      <sz val="9"/>
      <name val="Arial"/>
      <family val="2"/>
    </font>
    <font>
      <u/>
      <sz val="10"/>
      <name val="Arial"/>
      <family val="2"/>
    </font>
    <font>
      <i/>
      <sz val="10"/>
      <name val="Arial"/>
      <family val="2"/>
    </font>
    <font>
      <b/>
      <i/>
      <sz val="10"/>
      <name val="Arial"/>
      <family val="2"/>
    </font>
    <font>
      <b/>
      <sz val="10"/>
      <color rgb="FFFF0000"/>
      <name val="Arial"/>
      <family val="2"/>
    </font>
    <font>
      <sz val="8"/>
      <color theme="5" tint="0.39997558519241921"/>
      <name val="Calibri"/>
      <family val="2"/>
      <scheme val="minor"/>
    </font>
    <font>
      <sz val="9"/>
      <color indexed="81"/>
      <name val="Tahoma"/>
      <family val="2"/>
    </font>
    <font>
      <b/>
      <sz val="9"/>
      <color indexed="81"/>
      <name val="Tahoma"/>
      <family val="2"/>
    </font>
    <font>
      <sz val="8"/>
      <color theme="9" tint="-0.249977111117893"/>
      <name val="Calibri"/>
      <family val="2"/>
      <scheme val="minor"/>
    </font>
    <font>
      <b/>
      <sz val="12"/>
      <color rgb="FFFF0000"/>
      <name val="Arial"/>
      <family val="2"/>
    </font>
    <font>
      <u/>
      <sz val="8"/>
      <name val="Arial"/>
      <family val="2"/>
    </font>
    <font>
      <sz val="10"/>
      <name val="Calibri"/>
      <family val="2"/>
      <scheme val="minor"/>
    </font>
    <font>
      <sz val="10"/>
      <color theme="1"/>
      <name val="Calibri"/>
      <family val="2"/>
      <scheme val="minor"/>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6"/>
        <bgColor indexed="64"/>
      </patternFill>
    </fill>
    <fill>
      <patternFill patternType="solid">
        <fgColor theme="2" tint="-9.9948118533890809E-2"/>
        <bgColor indexed="64"/>
      </patternFill>
    </fill>
    <fill>
      <patternFill patternType="solid">
        <fgColor theme="0" tint="-0.14993743705557422"/>
        <bgColor indexed="64"/>
      </patternFill>
    </fill>
    <fill>
      <patternFill patternType="solid">
        <fgColor theme="5" tint="0.59999389629810485"/>
        <bgColor indexed="64"/>
      </patternFill>
    </fill>
    <fill>
      <patternFill patternType="solid">
        <fgColor rgb="FF002060"/>
        <bgColor indexed="64"/>
      </patternFill>
    </fill>
  </fills>
  <borders count="66">
    <border>
      <left/>
      <right/>
      <top/>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style="thin">
        <color auto="1"/>
      </right>
      <top style="thin">
        <color auto="1"/>
      </top>
      <bottom/>
      <diagonal/>
    </border>
    <border>
      <left/>
      <right style="medium">
        <color auto="1"/>
      </right>
      <top style="medium">
        <color auto="1"/>
      </top>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top style="medium">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bottom style="medium">
        <color rgb="FF000000"/>
      </bottom>
      <diagonal/>
    </border>
    <border>
      <left/>
      <right style="medium">
        <color auto="1"/>
      </right>
      <top/>
      <bottom style="medium">
        <color rgb="FF000000"/>
      </bottom>
      <diagonal/>
    </border>
    <border>
      <left style="medium">
        <color auto="1"/>
      </left>
      <right style="medium">
        <color auto="1"/>
      </right>
      <top style="medium">
        <color rgb="FF000000"/>
      </top>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top/>
      <bottom/>
      <diagonal/>
    </border>
    <border>
      <left/>
      <right style="thin">
        <color auto="1"/>
      </right>
      <top/>
      <bottom style="thin">
        <color auto="1"/>
      </bottom>
      <diagonal/>
    </border>
    <border>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s>
  <cellStyleXfs count="4">
    <xf numFmtId="0" fontId="0" fillId="0" borderId="0"/>
    <xf numFmtId="43" fontId="18" fillId="0" borderId="0" applyFont="0" applyFill="0" applyBorder="0" applyAlignment="0" applyProtection="0"/>
    <xf numFmtId="9" fontId="1" fillId="0" borderId="0" applyFont="0" applyFill="0" applyBorder="0" applyAlignment="0" applyProtection="0"/>
    <xf numFmtId="0" fontId="49" fillId="0" borderId="0"/>
  </cellStyleXfs>
  <cellXfs count="587">
    <xf numFmtId="0" fontId="0" fillId="0" borderId="0" xfId="0"/>
    <xf numFmtId="0" fontId="0" fillId="0" borderId="0" xfId="0" applyAlignment="1"/>
    <xf numFmtId="0" fontId="2" fillId="0" borderId="0" xfId="0" applyFont="1"/>
    <xf numFmtId="0" fontId="0" fillId="0" borderId="0" xfId="0" applyBorder="1" applyAlignment="1"/>
    <xf numFmtId="0" fontId="4" fillId="0" borderId="0" xfId="0" applyFont="1" applyAlignment="1">
      <alignment vertical="justify"/>
    </xf>
    <xf numFmtId="0" fontId="2" fillId="0" borderId="0" xfId="0" applyFont="1" applyAlignment="1">
      <alignment vertical="top" wrapText="1"/>
    </xf>
    <xf numFmtId="0" fontId="2" fillId="0" borderId="0" xfId="0" applyNumberFormat="1" applyFont="1" applyFill="1" applyBorder="1" applyAlignment="1">
      <alignment vertical="top" wrapText="1"/>
    </xf>
    <xf numFmtId="0" fontId="0" fillId="0" borderId="0" xfId="0" applyFill="1"/>
    <xf numFmtId="0" fontId="2" fillId="0" borderId="5" xfId="0" applyNumberFormat="1" applyFont="1" applyFill="1" applyBorder="1" applyAlignment="1">
      <alignment horizontal="center"/>
    </xf>
    <xf numFmtId="0" fontId="8" fillId="0" borderId="0" xfId="0" applyFont="1" applyBorder="1" applyAlignment="1"/>
    <xf numFmtId="0" fontId="9" fillId="0" borderId="0" xfId="0" applyFont="1" applyBorder="1" applyAlignment="1"/>
    <xf numFmtId="8" fontId="2" fillId="0" borderId="5" xfId="0" applyNumberFormat="1" applyFont="1" applyFill="1" applyBorder="1"/>
    <xf numFmtId="0" fontId="2" fillId="0" borderId="5" xfId="0" applyFont="1" applyFill="1" applyBorder="1" applyAlignment="1"/>
    <xf numFmtId="0" fontId="4" fillId="0" borderId="0" xfId="0" applyFont="1" applyFill="1" applyBorder="1" applyAlignment="1">
      <alignment horizontal="left" vertical="justify"/>
    </xf>
    <xf numFmtId="0" fontId="0" fillId="0" borderId="0" xfId="0" applyAlignment="1">
      <alignment horizontal="left"/>
    </xf>
    <xf numFmtId="0" fontId="0" fillId="0" borderId="0" xfId="0" applyBorder="1" applyAlignment="1">
      <alignment horizontal="left"/>
    </xf>
    <xf numFmtId="0" fontId="1" fillId="0" borderId="0" xfId="0" applyFont="1"/>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xf numFmtId="0" fontId="1" fillId="0" borderId="0" xfId="0" applyFont="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0" xfId="0" quotePrefix="1" applyFont="1"/>
    <xf numFmtId="0" fontId="7" fillId="0" borderId="0" xfId="0" applyFont="1"/>
    <xf numFmtId="3" fontId="2" fillId="0" borderId="31" xfId="1" applyNumberFormat="1" applyFont="1" applyFill="1" applyBorder="1" applyAlignment="1" applyProtection="1">
      <alignment horizontal="center"/>
      <protection locked="0"/>
    </xf>
    <xf numFmtId="0" fontId="0" fillId="0" borderId="12" xfId="0" applyBorder="1"/>
    <xf numFmtId="0" fontId="0" fillId="0" borderId="3" xfId="0" applyBorder="1"/>
    <xf numFmtId="0" fontId="19" fillId="0" borderId="0" xfId="0" applyFont="1"/>
    <xf numFmtId="0" fontId="0" fillId="0" borderId="0" xfId="0" applyBorder="1"/>
    <xf numFmtId="0" fontId="20" fillId="0" borderId="0" xfId="0" applyFont="1"/>
    <xf numFmtId="0" fontId="21" fillId="0" borderId="0" xfId="0" applyFont="1"/>
    <xf numFmtId="0" fontId="22" fillId="0" borderId="0" xfId="0" applyFont="1"/>
    <xf numFmtId="0" fontId="2" fillId="0" borderId="38" xfId="0" applyFont="1" applyBorder="1" applyAlignment="1">
      <alignment horizontal="center" wrapText="1"/>
    </xf>
    <xf numFmtId="0" fontId="2" fillId="0" borderId="42" xfId="0" applyFont="1" applyBorder="1" applyAlignment="1">
      <alignment horizontal="center" wrapText="1"/>
    </xf>
    <xf numFmtId="0" fontId="23" fillId="0" borderId="0" xfId="0" applyFont="1" applyAlignment="1">
      <alignment wrapText="1"/>
    </xf>
    <xf numFmtId="0" fontId="2" fillId="0" borderId="36" xfId="0" applyFont="1" applyBorder="1" applyAlignment="1">
      <alignment horizontal="center"/>
    </xf>
    <xf numFmtId="0" fontId="2" fillId="0" borderId="42" xfId="0" applyFont="1" applyBorder="1" applyAlignment="1">
      <alignment horizontal="center"/>
    </xf>
    <xf numFmtId="0" fontId="2" fillId="0" borderId="36" xfId="0" applyFont="1" applyBorder="1" applyAlignment="1">
      <alignment horizontal="center" wrapText="1"/>
    </xf>
    <xf numFmtId="0" fontId="2" fillId="0" borderId="49" xfId="0" applyFont="1" applyBorder="1" applyAlignment="1">
      <alignment horizontal="center" wrapText="1"/>
    </xf>
    <xf numFmtId="0" fontId="2" fillId="0" borderId="28" xfId="0" applyFont="1" applyBorder="1" applyAlignment="1">
      <alignment horizontal="center"/>
    </xf>
    <xf numFmtId="0" fontId="0" fillId="0" borderId="36" xfId="0" applyBorder="1" applyAlignment="1">
      <alignment wrapText="1"/>
    </xf>
    <xf numFmtId="0" fontId="0" fillId="0" borderId="49" xfId="0" applyBorder="1" applyAlignment="1">
      <alignment wrapText="1"/>
    </xf>
    <xf numFmtId="0" fontId="22" fillId="0" borderId="0" xfId="0" applyFont="1" applyAlignment="1">
      <alignment wrapText="1"/>
    </xf>
    <xf numFmtId="167" fontId="2" fillId="0" borderId="21" xfId="0" applyNumberFormat="1" applyFont="1" applyFill="1" applyBorder="1" applyAlignment="1" applyProtection="1">
      <alignment horizontal="center" vertical="center"/>
      <protection locked="0"/>
    </xf>
    <xf numFmtId="167" fontId="2" fillId="0" borderId="11" xfId="0" applyNumberFormat="1" applyFont="1" applyFill="1" applyBorder="1" applyAlignment="1" applyProtection="1">
      <alignment horizontal="center" vertical="center"/>
      <protection locked="0"/>
    </xf>
    <xf numFmtId="167" fontId="2" fillId="0" borderId="33" xfId="0" applyNumberFormat="1" applyFont="1" applyFill="1" applyBorder="1" applyAlignment="1" applyProtection="1">
      <alignment horizontal="center" vertical="center"/>
      <protection locked="0"/>
    </xf>
    <xf numFmtId="167" fontId="2" fillId="0" borderId="5" xfId="0" applyNumberFormat="1" applyFont="1" applyFill="1" applyBorder="1" applyAlignment="1" applyProtection="1">
      <alignment horizontal="center" vertical="center"/>
      <protection locked="0"/>
    </xf>
    <xf numFmtId="167" fontId="2" fillId="0" borderId="18" xfId="0" applyNumberFormat="1" applyFont="1" applyFill="1" applyBorder="1" applyAlignment="1" applyProtection="1">
      <alignment horizontal="center" vertical="center"/>
      <protection locked="0"/>
    </xf>
    <xf numFmtId="167" fontId="2" fillId="0" borderId="52" xfId="0" applyNumberFormat="1" applyFont="1" applyFill="1" applyBorder="1" applyAlignment="1" applyProtection="1">
      <alignment horizontal="center" vertical="center"/>
      <protection locked="0"/>
    </xf>
    <xf numFmtId="167" fontId="2" fillId="0" borderId="9" xfId="0" applyNumberFormat="1" applyFont="1" applyFill="1" applyBorder="1" applyAlignment="1" applyProtection="1">
      <alignment horizontal="center" vertical="center"/>
      <protection locked="0"/>
    </xf>
    <xf numFmtId="167" fontId="2" fillId="0" borderId="10" xfId="0" applyNumberFormat="1" applyFont="1" applyFill="1" applyBorder="1" applyAlignment="1" applyProtection="1">
      <alignment horizontal="center" vertical="center"/>
      <protection locked="0"/>
    </xf>
    <xf numFmtId="166" fontId="2" fillId="0" borderId="5"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shrinkToFit="1"/>
      <protection locked="0"/>
    </xf>
    <xf numFmtId="168" fontId="2" fillId="0" borderId="27" xfId="0" applyNumberFormat="1" applyFont="1" applyFill="1" applyBorder="1" applyAlignment="1" applyProtection="1">
      <alignment horizontal="center"/>
      <protection locked="0"/>
    </xf>
    <xf numFmtId="169" fontId="2" fillId="0" borderId="28"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11" xfId="0" applyNumberFormat="1" applyFont="1" applyFill="1" applyBorder="1" applyAlignment="1" applyProtection="1">
      <alignment horizontal="center"/>
      <protection locked="0"/>
    </xf>
    <xf numFmtId="166" fontId="2" fillId="3" borderId="43" xfId="0" applyNumberFormat="1" applyFont="1" applyFill="1" applyBorder="1" applyAlignment="1" applyProtection="1">
      <alignment horizontal="center"/>
      <protection locked="0"/>
    </xf>
    <xf numFmtId="166" fontId="2" fillId="0" borderId="57" xfId="0" applyNumberFormat="1" applyFont="1" applyFill="1" applyBorder="1" applyAlignment="1" applyProtection="1">
      <alignment horizontal="center"/>
      <protection locked="0"/>
    </xf>
    <xf numFmtId="0" fontId="0" fillId="0" borderId="2" xfId="0" applyBorder="1" applyProtection="1">
      <protection locked="0"/>
    </xf>
    <xf numFmtId="0" fontId="2" fillId="0" borderId="5" xfId="0" applyFont="1" applyFill="1" applyBorder="1" applyAlignment="1" applyProtection="1">
      <alignment horizontal="center"/>
      <protection locked="0"/>
    </xf>
    <xf numFmtId="10" fontId="2" fillId="0" borderId="5" xfId="0" applyNumberFormat="1" applyFont="1" applyFill="1" applyBorder="1" applyAlignment="1" applyProtection="1">
      <alignment horizontal="center"/>
      <protection locked="0"/>
    </xf>
    <xf numFmtId="10" fontId="2" fillId="0" borderId="37" xfId="2" applyNumberFormat="1" applyFont="1" applyFill="1" applyBorder="1" applyAlignment="1" applyProtection="1">
      <alignment horizontal="center"/>
      <protection locked="0"/>
    </xf>
    <xf numFmtId="8" fontId="2" fillId="8" borderId="5" xfId="0" applyNumberFormat="1" applyFont="1" applyFill="1" applyBorder="1" applyAlignment="1" applyProtection="1">
      <alignment horizontal="center"/>
      <protection hidden="1"/>
    </xf>
    <xf numFmtId="166" fontId="2" fillId="8" borderId="5" xfId="0" applyNumberFormat="1" applyFont="1" applyFill="1" applyBorder="1" applyAlignment="1" applyProtection="1">
      <alignment horizontal="center"/>
      <protection locked="0"/>
    </xf>
    <xf numFmtId="3" fontId="2" fillId="8" borderId="5" xfId="1" applyNumberFormat="1" applyFont="1" applyFill="1" applyBorder="1" applyAlignment="1" applyProtection="1">
      <alignment horizontal="center"/>
      <protection hidden="1"/>
    </xf>
    <xf numFmtId="2" fontId="3" fillId="8" borderId="5" xfId="0" applyNumberFormat="1" applyFont="1" applyFill="1" applyBorder="1" applyAlignment="1" applyProtection="1">
      <alignment horizontal="center"/>
      <protection hidden="1"/>
    </xf>
    <xf numFmtId="8" fontId="5" fillId="8" borderId="41" xfId="0" applyNumberFormat="1" applyFont="1" applyFill="1" applyBorder="1" applyAlignment="1" applyProtection="1">
      <alignment horizontal="center"/>
      <protection hidden="1"/>
    </xf>
    <xf numFmtId="8" fontId="2" fillId="8" borderId="28" xfId="0" applyNumberFormat="1" applyFont="1" applyFill="1" applyBorder="1" applyAlignment="1" applyProtection="1">
      <alignment horizontal="center"/>
      <protection hidden="1"/>
    </xf>
    <xf numFmtId="8" fontId="2" fillId="8" borderId="12" xfId="0" applyNumberFormat="1" applyFont="1" applyFill="1" applyBorder="1" applyAlignment="1" applyProtection="1">
      <alignment horizontal="center"/>
      <protection hidden="1"/>
    </xf>
    <xf numFmtId="10" fontId="5" fillId="8" borderId="29" xfId="0" applyNumberFormat="1" applyFont="1" applyFill="1" applyBorder="1" applyAlignment="1" applyProtection="1">
      <alignment horizontal="center"/>
      <protection hidden="1"/>
    </xf>
    <xf numFmtId="8" fontId="2" fillId="8" borderId="29" xfId="0" applyNumberFormat="1" applyFont="1" applyFill="1" applyBorder="1" applyAlignment="1" applyProtection="1">
      <alignment horizontal="center"/>
      <protection hidden="1"/>
    </xf>
    <xf numFmtId="0" fontId="0" fillId="0" borderId="0" xfId="0" applyAlignment="1">
      <alignment wrapText="1"/>
    </xf>
    <xf numFmtId="0" fontId="1" fillId="0" borderId="29" xfId="0" applyFont="1" applyBorder="1" applyAlignment="1">
      <alignment horizontal="center" vertical="center"/>
    </xf>
    <xf numFmtId="0" fontId="1" fillId="0" borderId="4" xfId="0" applyFont="1" applyBorder="1" applyAlignment="1">
      <alignment horizontal="center" vertical="center"/>
    </xf>
    <xf numFmtId="0" fontId="2" fillId="0" borderId="0" xfId="0" applyFont="1" applyAlignment="1">
      <alignment vertical="top" wrapText="1"/>
    </xf>
    <xf numFmtId="0" fontId="2" fillId="0" borderId="5" xfId="0" applyNumberFormat="1" applyFont="1" applyFill="1" applyBorder="1" applyAlignment="1">
      <alignment horizontal="left"/>
    </xf>
    <xf numFmtId="8" fontId="2" fillId="0" borderId="5" xfId="0" applyNumberFormat="1" applyFont="1" applyFill="1" applyBorder="1" applyAlignment="1">
      <alignment horizontal="center"/>
    </xf>
    <xf numFmtId="0" fontId="0" fillId="0" borderId="0" xfId="0" applyAlignment="1" applyProtection="1">
      <protection locked="0"/>
    </xf>
    <xf numFmtId="0" fontId="0" fillId="0" borderId="0" xfId="0" applyProtection="1">
      <protection locked="0"/>
    </xf>
    <xf numFmtId="0" fontId="15" fillId="0" borderId="0" xfId="0" applyFont="1" applyAlignment="1" applyProtection="1">
      <protection locked="0"/>
    </xf>
    <xf numFmtId="0" fontId="25" fillId="5" borderId="37" xfId="0" applyFont="1" applyFill="1" applyBorder="1" applyAlignment="1" applyProtection="1">
      <alignment horizontal="center" vertical="center" wrapText="1"/>
      <protection locked="0"/>
    </xf>
    <xf numFmtId="0" fontId="28" fillId="5" borderId="37" xfId="0" applyFont="1" applyFill="1" applyBorder="1" applyAlignment="1" applyProtection="1">
      <alignment horizontal="center" vertical="center" wrapText="1"/>
      <protection locked="0"/>
    </xf>
    <xf numFmtId="165" fontId="28" fillId="5" borderId="37" xfId="0" applyNumberFormat="1" applyFont="1" applyFill="1" applyBorder="1" applyAlignment="1" applyProtection="1">
      <alignment horizontal="center" vertical="center" wrapText="1"/>
      <protection locked="0"/>
    </xf>
    <xf numFmtId="0" fontId="27" fillId="11" borderId="37" xfId="0" applyFont="1" applyFill="1" applyBorder="1" applyAlignment="1" applyProtection="1">
      <alignment horizontal="center" vertical="center" wrapText="1"/>
      <protection locked="0"/>
    </xf>
    <xf numFmtId="0" fontId="25" fillId="12" borderId="37" xfId="0" applyFont="1" applyFill="1" applyBorder="1" applyAlignment="1" applyProtection="1">
      <alignment horizontal="center" vertical="center" wrapText="1"/>
      <protection locked="0"/>
    </xf>
    <xf numFmtId="0" fontId="24" fillId="0" borderId="0" xfId="0" applyFont="1" applyBorder="1" applyProtection="1">
      <protection locked="0"/>
    </xf>
    <xf numFmtId="165" fontId="25" fillId="9" borderId="31" xfId="0" applyNumberFormat="1" applyFont="1" applyFill="1" applyBorder="1" applyAlignment="1" applyProtection="1">
      <alignment horizontal="center" vertical="center" wrapText="1"/>
      <protection locked="0"/>
    </xf>
    <xf numFmtId="165" fontId="25" fillId="9" borderId="56" xfId="0" applyNumberFormat="1" applyFont="1" applyFill="1" applyBorder="1" applyAlignment="1" applyProtection="1">
      <alignment horizontal="center" vertical="center" wrapText="1"/>
      <protection locked="0"/>
    </xf>
    <xf numFmtId="165" fontId="25" fillId="9" borderId="30" xfId="0" applyNumberFormat="1" applyFont="1" applyFill="1" applyBorder="1" applyAlignment="1" applyProtection="1">
      <alignment horizontal="center" vertical="center" wrapText="1"/>
      <protection locked="0"/>
    </xf>
    <xf numFmtId="165" fontId="25" fillId="9" borderId="5" xfId="0" applyNumberFormat="1" applyFont="1" applyFill="1" applyBorder="1" applyAlignment="1" applyProtection="1">
      <alignment horizontal="center" vertical="center" wrapText="1"/>
      <protection locked="0"/>
    </xf>
    <xf numFmtId="165" fontId="25" fillId="12" borderId="5" xfId="0" applyNumberFormat="1" applyFont="1" applyFill="1" applyBorder="1" applyAlignment="1" applyProtection="1">
      <alignment horizontal="center" vertical="center" wrapText="1"/>
      <protection locked="0"/>
    </xf>
    <xf numFmtId="0" fontId="28" fillId="6" borderId="5" xfId="0" applyFont="1" applyFill="1" applyBorder="1" applyAlignment="1" applyProtection="1">
      <alignment horizontal="center" vertical="center"/>
      <protection locked="0"/>
    </xf>
    <xf numFmtId="0" fontId="24" fillId="0" borderId="0" xfId="0" applyFont="1" applyProtection="1">
      <protection locked="0"/>
    </xf>
    <xf numFmtId="165" fontId="25" fillId="5" borderId="5" xfId="0" applyNumberFormat="1" applyFont="1" applyFill="1" applyBorder="1" applyAlignment="1" applyProtection="1">
      <alignment horizontal="center" vertical="center" wrapText="1"/>
      <protection locked="0"/>
    </xf>
    <xf numFmtId="165" fontId="25" fillId="6" borderId="5" xfId="0" applyNumberFormat="1" applyFont="1" applyFill="1" applyBorder="1" applyAlignment="1" applyProtection="1">
      <alignment horizontal="center" vertical="center" wrapText="1"/>
      <protection locked="0"/>
    </xf>
    <xf numFmtId="0" fontId="24" fillId="0" borderId="5" xfId="0" applyFont="1" applyBorder="1" applyProtection="1">
      <protection locked="0"/>
    </xf>
    <xf numFmtId="0" fontId="24" fillId="6" borderId="5" xfId="0" applyFont="1" applyFill="1" applyBorder="1" applyProtection="1">
      <protection locked="0"/>
    </xf>
    <xf numFmtId="0" fontId="24" fillId="0" borderId="31" xfId="0" applyFont="1" applyBorder="1" applyProtection="1">
      <protection locked="0"/>
    </xf>
    <xf numFmtId="0" fontId="2" fillId="8" borderId="5" xfId="0" applyFont="1" applyFill="1" applyBorder="1" applyAlignment="1" applyProtection="1">
      <alignment horizontal="center" vertical="top"/>
      <protection locked="0"/>
    </xf>
    <xf numFmtId="0" fontId="27" fillId="7" borderId="12" xfId="0" applyFont="1" applyFill="1" applyBorder="1" applyAlignment="1" applyProtection="1">
      <alignment horizontal="center" vertical="top"/>
      <protection locked="0"/>
    </xf>
    <xf numFmtId="0" fontId="26" fillId="7" borderId="3" xfId="0" applyFont="1" applyFill="1" applyBorder="1" applyAlignment="1" applyProtection="1">
      <alignment horizontal="left" vertical="top"/>
      <protection locked="0"/>
    </xf>
    <xf numFmtId="7" fontId="26" fillId="7" borderId="7" xfId="0" applyNumberFormat="1" applyFont="1" applyFill="1" applyBorder="1" applyAlignment="1" applyProtection="1">
      <alignment horizontal="left" vertical="top"/>
      <protection locked="0"/>
    </xf>
    <xf numFmtId="165" fontId="26" fillId="7" borderId="7" xfId="0" applyNumberFormat="1" applyFont="1" applyFill="1" applyBorder="1" applyAlignment="1" applyProtection="1">
      <alignment horizontal="left" vertical="top"/>
      <protection locked="0"/>
    </xf>
    <xf numFmtId="165" fontId="26" fillId="7" borderId="34" xfId="0" applyNumberFormat="1" applyFont="1" applyFill="1" applyBorder="1" applyAlignment="1" applyProtection="1">
      <alignment horizontal="left" vertical="top"/>
      <protection locked="0"/>
    </xf>
    <xf numFmtId="0" fontId="28" fillId="7" borderId="0" xfId="0" applyFont="1" applyFill="1" applyBorder="1" applyProtection="1">
      <protection locked="0"/>
    </xf>
    <xf numFmtId="0" fontId="24" fillId="0" borderId="31" xfId="0" applyFont="1" applyBorder="1" applyAlignment="1" applyProtection="1">
      <alignment horizontal="center" vertical="top"/>
      <protection locked="0"/>
    </xf>
    <xf numFmtId="0" fontId="24" fillId="0" borderId="23" xfId="0" applyFont="1" applyBorder="1" applyAlignment="1" applyProtection="1">
      <alignment horizontal="center" vertical="top"/>
      <protection locked="0"/>
    </xf>
    <xf numFmtId="3" fontId="24" fillId="0" borderId="5" xfId="0" applyNumberFormat="1" applyFont="1" applyBorder="1" applyAlignment="1" applyProtection="1">
      <alignment horizontal="center" vertical="top"/>
      <protection locked="0"/>
    </xf>
    <xf numFmtId="0" fontId="28" fillId="12" borderId="5" xfId="0" applyFont="1" applyFill="1" applyBorder="1" applyAlignment="1" applyProtection="1">
      <alignment horizontal="center" vertical="top"/>
      <protection locked="0"/>
    </xf>
    <xf numFmtId="0" fontId="24" fillId="0" borderId="5" xfId="0" applyFont="1" applyBorder="1" applyAlignment="1" applyProtection="1">
      <alignment horizontal="left" vertical="top"/>
      <protection locked="0"/>
    </xf>
    <xf numFmtId="0" fontId="24" fillId="0" borderId="0" xfId="0" applyFont="1" applyAlignment="1" applyProtection="1">
      <alignment horizontal="left" vertical="top"/>
      <protection locked="0"/>
    </xf>
    <xf numFmtId="0" fontId="24" fillId="0" borderId="21" xfId="0" applyFont="1" applyBorder="1" applyAlignment="1" applyProtection="1">
      <alignment horizontal="left" vertical="top"/>
      <protection locked="0"/>
    </xf>
    <xf numFmtId="2" fontId="24" fillId="0" borderId="43" xfId="0" applyNumberFormat="1" applyFont="1" applyBorder="1" applyAlignment="1" applyProtection="1">
      <alignment horizontal="left" vertical="top"/>
      <protection locked="0"/>
    </xf>
    <xf numFmtId="0" fontId="28" fillId="6" borderId="12" xfId="0" applyFont="1" applyFill="1" applyBorder="1" applyAlignment="1" applyProtection="1">
      <alignment horizontal="center" vertical="top"/>
      <protection locked="0"/>
    </xf>
    <xf numFmtId="2" fontId="24" fillId="0" borderId="30" xfId="0" applyNumberFormat="1" applyFont="1" applyBorder="1" applyAlignment="1" applyProtection="1">
      <alignment horizontal="center" vertical="top"/>
      <protection locked="0"/>
    </xf>
    <xf numFmtId="0" fontId="2" fillId="0" borderId="30" xfId="0" applyFont="1" applyFill="1" applyBorder="1" applyAlignment="1" applyProtection="1">
      <alignment horizontal="center"/>
      <protection locked="0"/>
    </xf>
    <xf numFmtId="0" fontId="0" fillId="0" borderId="31" xfId="0" applyBorder="1" applyProtection="1">
      <protection locked="0"/>
    </xf>
    <xf numFmtId="0" fontId="0" fillId="0" borderId="30" xfId="0" applyBorder="1" applyProtection="1">
      <protection locked="0"/>
    </xf>
    <xf numFmtId="0" fontId="0" fillId="0" borderId="5" xfId="0" applyFill="1" applyBorder="1" applyProtection="1">
      <protection locked="0"/>
    </xf>
    <xf numFmtId="0" fontId="24" fillId="0" borderId="11" xfId="0" applyFont="1" applyFill="1" applyBorder="1" applyAlignment="1" applyProtection="1">
      <alignment horizontal="left" vertical="top"/>
      <protection locked="0"/>
    </xf>
    <xf numFmtId="165" fontId="24" fillId="0" borderId="11" xfId="0" applyNumberFormat="1" applyFont="1" applyFill="1" applyBorder="1" applyAlignment="1" applyProtection="1">
      <alignment horizontal="left" vertical="top"/>
      <protection locked="0"/>
    </xf>
    <xf numFmtId="165" fontId="24" fillId="12" borderId="11" xfId="0" applyNumberFormat="1" applyFont="1" applyFill="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5" xfId="0" applyFont="1" applyFill="1" applyBorder="1" applyAlignment="1" applyProtection="1">
      <alignment horizontal="left" vertical="top"/>
      <protection locked="0"/>
    </xf>
    <xf numFmtId="0" fontId="28" fillId="7" borderId="13" xfId="0" applyFont="1" applyFill="1" applyBorder="1" applyAlignment="1" applyProtection="1">
      <alignment horizontal="left" vertical="top"/>
      <protection locked="0"/>
    </xf>
    <xf numFmtId="0" fontId="0" fillId="0" borderId="0" xfId="0" applyBorder="1" applyProtection="1">
      <protection locked="0"/>
    </xf>
    <xf numFmtId="0" fontId="0" fillId="0" borderId="0" xfId="0" applyBorder="1" applyAlignment="1" applyProtection="1">
      <protection locked="0"/>
    </xf>
    <xf numFmtId="0" fontId="5" fillId="0" borderId="0" xfId="0" applyFont="1" applyFill="1" applyAlignment="1" applyProtection="1">
      <alignment horizontal="center" wrapText="1"/>
      <protection locked="0"/>
    </xf>
    <xf numFmtId="0" fontId="1" fillId="0" borderId="0" xfId="0" applyFont="1" applyFill="1" applyBorder="1" applyAlignment="1" applyProtection="1">
      <alignment horizontal="center" wrapText="1"/>
      <protection locked="0"/>
    </xf>
    <xf numFmtId="0" fontId="24" fillId="0" borderId="31" xfId="0" applyFont="1" applyFill="1" applyBorder="1" applyAlignment="1" applyProtection="1">
      <alignment horizontal="left" vertical="top"/>
      <protection locked="0"/>
    </xf>
    <xf numFmtId="7" fontId="24" fillId="11" borderId="5" xfId="0" applyNumberFormat="1" applyFont="1" applyFill="1" applyBorder="1" applyAlignment="1" applyProtection="1">
      <alignment horizontal="left" vertical="top"/>
      <protection locked="0"/>
    </xf>
    <xf numFmtId="0" fontId="24" fillId="8" borderId="23" xfId="0" applyFont="1" applyFill="1" applyBorder="1" applyAlignment="1" applyProtection="1">
      <alignment horizontal="center" vertical="top"/>
      <protection locked="0"/>
    </xf>
    <xf numFmtId="1" fontId="2" fillId="8" borderId="37" xfId="0" applyNumberFormat="1" applyFont="1" applyFill="1" applyBorder="1" applyAlignment="1" applyProtection="1">
      <alignment horizontal="left" vertical="center"/>
      <protection locked="0"/>
    </xf>
    <xf numFmtId="0" fontId="2" fillId="8" borderId="37" xfId="0" applyFont="1" applyFill="1" applyBorder="1" applyAlignment="1" applyProtection="1">
      <alignment vertical="center"/>
      <protection locked="0"/>
    </xf>
    <xf numFmtId="7" fontId="24" fillId="0" borderId="0" xfId="0" applyNumberFormat="1" applyFont="1" applyBorder="1" applyAlignment="1" applyProtection="1">
      <alignment horizontal="left" vertical="top"/>
      <protection locked="0"/>
    </xf>
    <xf numFmtId="1" fontId="2" fillId="8" borderId="19" xfId="0" applyNumberFormat="1" applyFont="1" applyFill="1" applyBorder="1" applyAlignment="1" applyProtection="1">
      <alignment horizontal="left" vertical="center"/>
      <protection locked="0"/>
    </xf>
    <xf numFmtId="0" fontId="2" fillId="8" borderId="29" xfId="0" applyFont="1" applyFill="1" applyBorder="1" applyAlignment="1" applyProtection="1">
      <alignment vertical="center" wrapText="1"/>
      <protection locked="0"/>
    </xf>
    <xf numFmtId="0" fontId="2" fillId="0" borderId="0" xfId="0" applyFont="1" applyAlignment="1" applyProtection="1">
      <alignment horizontal="center" wrapText="1"/>
      <protection locked="0"/>
    </xf>
    <xf numFmtId="0" fontId="2" fillId="8" borderId="6" xfId="0" applyFont="1" applyFill="1" applyBorder="1" applyAlignment="1" applyProtection="1">
      <alignment horizontal="center" wrapText="1"/>
      <protection locked="0"/>
    </xf>
    <xf numFmtId="0" fontId="2" fillId="8" borderId="7" xfId="0" applyFont="1" applyFill="1" applyBorder="1" applyAlignment="1" applyProtection="1">
      <alignment horizontal="center" wrapText="1"/>
      <protection locked="0"/>
    </xf>
    <xf numFmtId="0" fontId="2" fillId="8" borderId="34" xfId="0" applyFont="1" applyFill="1" applyBorder="1" applyAlignment="1" applyProtection="1">
      <alignment horizontal="center" wrapText="1"/>
      <protection locked="0"/>
    </xf>
    <xf numFmtId="0" fontId="24" fillId="0" borderId="31" xfId="0" applyFont="1" applyFill="1" applyBorder="1" applyAlignment="1" applyProtection="1">
      <alignment horizontal="center" vertical="top"/>
      <protection locked="0"/>
    </xf>
    <xf numFmtId="0" fontId="2" fillId="8" borderId="58" xfId="0" applyFont="1" applyFill="1" applyBorder="1" applyAlignment="1" applyProtection="1">
      <alignment horizontal="left" vertical="center" wrapText="1"/>
      <protection locked="0"/>
    </xf>
    <xf numFmtId="0" fontId="4" fillId="0" borderId="0" xfId="0" applyFont="1" applyFill="1" applyAlignment="1" applyProtection="1">
      <alignment horizontal="center" wrapText="1"/>
      <protection locked="0"/>
    </xf>
    <xf numFmtId="0" fontId="2" fillId="8" borderId="56" xfId="0" applyFont="1" applyFill="1" applyBorder="1" applyAlignment="1" applyProtection="1">
      <alignment vertical="center" wrapText="1"/>
      <protection locked="0"/>
    </xf>
    <xf numFmtId="0" fontId="1" fillId="0" borderId="0" xfId="0" applyFont="1" applyProtection="1">
      <protection locked="0"/>
    </xf>
    <xf numFmtId="0" fontId="2" fillId="8" borderId="23" xfId="0" applyFont="1" applyFill="1" applyBorder="1" applyAlignment="1" applyProtection="1">
      <alignment vertical="center" wrapText="1"/>
      <protection locked="0"/>
    </xf>
    <xf numFmtId="0" fontId="28" fillId="7" borderId="18" xfId="0" applyFont="1" applyFill="1" applyBorder="1" applyAlignment="1" applyProtection="1">
      <alignment horizontal="left" vertical="top"/>
      <protection locked="0"/>
    </xf>
    <xf numFmtId="0" fontId="2" fillId="8" borderId="30" xfId="0" applyFont="1" applyFill="1" applyBorder="1" applyAlignment="1" applyProtection="1">
      <alignment horizontal="left" vertical="center" wrapText="1"/>
      <protection locked="0"/>
    </xf>
    <xf numFmtId="0" fontId="2" fillId="8" borderId="24" xfId="0" applyFont="1" applyFill="1" applyBorder="1" applyAlignment="1" applyProtection="1">
      <alignment vertical="center" wrapText="1"/>
      <protection locked="0"/>
    </xf>
    <xf numFmtId="165" fontId="28" fillId="11" borderId="5" xfId="0" applyNumberFormat="1" applyFont="1" applyFill="1" applyBorder="1" applyAlignment="1" applyProtection="1">
      <alignment horizontal="center" vertical="center" wrapText="1"/>
      <protection locked="0"/>
    </xf>
    <xf numFmtId="0" fontId="24" fillId="0" borderId="5" xfId="0" applyFont="1" applyBorder="1" applyAlignment="1" applyProtection="1">
      <alignment horizontal="center" vertical="top"/>
      <protection locked="0"/>
    </xf>
    <xf numFmtId="0" fontId="0" fillId="0" borderId="0" xfId="0" applyBorder="1" applyAlignment="1" applyProtection="1">
      <alignment horizontal="center"/>
      <protection locked="0"/>
    </xf>
    <xf numFmtId="0" fontId="0" fillId="0" borderId="0" xfId="0" applyBorder="1" applyAlignment="1" applyProtection="1">
      <alignment wrapText="1"/>
      <protection locked="0"/>
    </xf>
    <xf numFmtId="3" fontId="24" fillId="0" borderId="0" xfId="0" applyNumberFormat="1" applyFont="1" applyBorder="1" applyAlignment="1" applyProtection="1">
      <alignment horizontal="center" vertical="top"/>
      <protection locked="0"/>
    </xf>
    <xf numFmtId="0" fontId="0" fillId="0" borderId="0" xfId="0" applyBorder="1" applyAlignment="1" applyProtection="1">
      <alignment horizontal="center" wrapText="1"/>
      <protection locked="0"/>
    </xf>
    <xf numFmtId="0" fontId="2" fillId="8" borderId="55" xfId="0" applyFont="1" applyFill="1" applyBorder="1" applyAlignment="1" applyProtection="1">
      <alignment horizontal="left" vertical="center" wrapText="1"/>
      <protection locked="0"/>
    </xf>
    <xf numFmtId="0" fontId="28" fillId="5" borderId="5" xfId="0" applyFont="1" applyFill="1" applyBorder="1" applyAlignment="1" applyProtection="1">
      <alignment horizontal="center" vertical="top"/>
      <protection locked="0"/>
    </xf>
    <xf numFmtId="0" fontId="24" fillId="5" borderId="30" xfId="0" applyFont="1" applyFill="1" applyBorder="1" applyAlignment="1" applyProtection="1">
      <alignment horizontal="left" vertical="top" wrapText="1"/>
      <protection locked="0"/>
    </xf>
    <xf numFmtId="0" fontId="28" fillId="9" borderId="5" xfId="0" applyFont="1" applyFill="1" applyBorder="1" applyAlignment="1" applyProtection="1">
      <alignment horizontal="center"/>
      <protection locked="0"/>
    </xf>
    <xf numFmtId="0" fontId="24" fillId="9" borderId="30" xfId="0" applyFont="1" applyFill="1" applyBorder="1" applyAlignment="1" applyProtection="1">
      <alignment horizontal="left" vertical="top" wrapText="1"/>
      <protection locked="0"/>
    </xf>
    <xf numFmtId="0" fontId="3" fillId="8" borderId="17" xfId="0" applyFont="1" applyFill="1" applyBorder="1" applyAlignment="1" applyProtection="1">
      <alignment vertical="center"/>
      <protection locked="0"/>
    </xf>
    <xf numFmtId="0" fontId="28" fillId="11" borderId="5" xfId="0" applyFont="1" applyFill="1" applyBorder="1" applyAlignment="1" applyProtection="1">
      <alignment horizontal="center"/>
      <protection locked="0"/>
    </xf>
    <xf numFmtId="0" fontId="24" fillId="11" borderId="5" xfId="0" applyFont="1" applyFill="1" applyBorder="1" applyAlignment="1" applyProtection="1">
      <alignment horizontal="left" vertical="top" wrapText="1"/>
      <protection locked="0"/>
    </xf>
    <xf numFmtId="0" fontId="2" fillId="8" borderId="11" xfId="0" applyFont="1" applyFill="1" applyBorder="1" applyProtection="1">
      <protection locked="0"/>
    </xf>
    <xf numFmtId="0" fontId="28" fillId="0" borderId="5" xfId="0" applyFont="1" applyFill="1" applyBorder="1" applyAlignment="1" applyProtection="1">
      <alignment horizontal="left" vertical="top"/>
      <protection locked="0"/>
    </xf>
    <xf numFmtId="8" fontId="24" fillId="0" borderId="5" xfId="0" applyNumberFormat="1" applyFont="1" applyFill="1" applyBorder="1" applyAlignment="1" applyProtection="1">
      <alignment horizontal="center" vertical="top"/>
      <protection locked="0" hidden="1"/>
    </xf>
    <xf numFmtId="0" fontId="2" fillId="8" borderId="37" xfId="0" applyFont="1" applyFill="1" applyBorder="1" applyProtection="1">
      <protection locked="0"/>
    </xf>
    <xf numFmtId="40" fontId="24" fillId="13" borderId="5" xfId="0" applyNumberFormat="1" applyFont="1" applyFill="1" applyBorder="1" applyAlignment="1" applyProtection="1">
      <alignment horizontal="center" vertical="top"/>
      <protection locked="0" hidden="1"/>
    </xf>
    <xf numFmtId="0" fontId="24" fillId="13" borderId="12" xfId="0" applyFont="1" applyFill="1" applyBorder="1" applyAlignment="1" applyProtection="1">
      <alignment horizontal="center" vertical="top"/>
      <protection locked="0"/>
    </xf>
    <xf numFmtId="165" fontId="24" fillId="10" borderId="30" xfId="0" applyNumberFormat="1" applyFont="1" applyFill="1" applyBorder="1" applyAlignment="1" applyProtection="1">
      <alignment horizontal="left" vertical="top"/>
      <protection locked="0"/>
    </xf>
    <xf numFmtId="8" fontId="24" fillId="12" borderId="5" xfId="0" applyNumberFormat="1" applyFont="1" applyFill="1" applyBorder="1" applyAlignment="1" applyProtection="1">
      <alignment horizontal="center" vertical="top"/>
      <protection locked="0" hidden="1"/>
    </xf>
    <xf numFmtId="165" fontId="24" fillId="10" borderId="5" xfId="0" applyNumberFormat="1" applyFont="1" applyFill="1" applyBorder="1" applyAlignment="1" applyProtection="1">
      <alignment horizontal="left" vertical="top"/>
      <protection locked="0"/>
    </xf>
    <xf numFmtId="8" fontId="24" fillId="11" borderId="37" xfId="0" applyNumberFormat="1" applyFont="1" applyFill="1" applyBorder="1" applyAlignment="1" applyProtection="1">
      <alignment horizontal="center" vertical="top"/>
      <protection locked="0" hidden="1"/>
    </xf>
    <xf numFmtId="165" fontId="24" fillId="0" borderId="30" xfId="0" applyNumberFormat="1" applyFont="1" applyFill="1" applyBorder="1" applyAlignment="1" applyProtection="1">
      <alignment horizontal="left" vertical="top"/>
      <protection locked="0"/>
    </xf>
    <xf numFmtId="0" fontId="3" fillId="8" borderId="60" xfId="0" applyFont="1" applyFill="1" applyBorder="1" applyAlignment="1" applyProtection="1">
      <alignment horizontal="center" vertical="center"/>
      <protection locked="0"/>
    </xf>
    <xf numFmtId="0" fontId="2" fillId="8" borderId="58"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0" fontId="2" fillId="13" borderId="11" xfId="0" applyFont="1" applyFill="1" applyBorder="1" applyAlignment="1" applyProtection="1">
      <alignment horizontal="center" vertical="center" wrapText="1"/>
      <protection locked="0"/>
    </xf>
    <xf numFmtId="0" fontId="28" fillId="0" borderId="31" xfId="0" applyFont="1" applyFill="1" applyBorder="1" applyAlignment="1" applyProtection="1">
      <alignment horizontal="left" vertical="top"/>
      <protection locked="0"/>
    </xf>
    <xf numFmtId="8" fontId="28" fillId="7" borderId="12" xfId="0" applyNumberFormat="1" applyFont="1" applyFill="1" applyBorder="1" applyAlignment="1" applyProtection="1">
      <alignment horizontal="center" vertical="top"/>
      <protection locked="0" hidden="1"/>
    </xf>
    <xf numFmtId="0" fontId="24" fillId="13" borderId="0" xfId="0" applyFont="1" applyFill="1" applyBorder="1" applyProtection="1">
      <protection locked="0"/>
    </xf>
    <xf numFmtId="0" fontId="0" fillId="8" borderId="0" xfId="0" applyFill="1" applyProtection="1">
      <protection locked="0"/>
    </xf>
    <xf numFmtId="0" fontId="2" fillId="8" borderId="23" xfId="0" applyFont="1" applyFill="1" applyBorder="1" applyAlignment="1" applyProtection="1">
      <alignment horizontal="center" vertical="center"/>
      <protection locked="0"/>
    </xf>
    <xf numFmtId="37" fontId="24" fillId="0" borderId="5" xfId="1" applyNumberFormat="1" applyFont="1" applyBorder="1" applyAlignment="1" applyProtection="1">
      <alignment horizontal="center" vertical="center"/>
      <protection locked="0"/>
    </xf>
    <xf numFmtId="0" fontId="24" fillId="0" borderId="5" xfId="0" applyFont="1" applyBorder="1" applyAlignment="1" applyProtection="1">
      <alignment horizontal="left" vertical="center"/>
      <protection locked="0"/>
    </xf>
    <xf numFmtId="43" fontId="24" fillId="0" borderId="0" xfId="0" applyNumberFormat="1" applyFont="1" applyBorder="1" applyProtection="1">
      <protection locked="0"/>
    </xf>
    <xf numFmtId="0" fontId="2" fillId="8" borderId="5" xfId="0" applyFont="1" applyFill="1" applyBorder="1" applyProtection="1">
      <protection locked="0"/>
    </xf>
    <xf numFmtId="0" fontId="0" fillId="0" borderId="0" xfId="0" applyAlignment="1" applyProtection="1">
      <alignment horizontal="center" shrinkToFit="1"/>
      <protection locked="0"/>
    </xf>
    <xf numFmtId="0" fontId="2" fillId="8" borderId="23" xfId="0" applyFont="1" applyFill="1" applyBorder="1" applyAlignment="1" applyProtection="1">
      <alignment vertical="center"/>
      <protection locked="0"/>
    </xf>
    <xf numFmtId="0" fontId="2" fillId="8" borderId="31" xfId="0" applyFont="1" applyFill="1" applyBorder="1" applyProtection="1">
      <protection locked="0"/>
    </xf>
    <xf numFmtId="8" fontId="2" fillId="0" borderId="12" xfId="0" applyNumberFormat="1" applyFont="1" applyBorder="1" applyAlignment="1" applyProtection="1">
      <alignment horizontal="center"/>
      <protection locked="0"/>
    </xf>
    <xf numFmtId="8" fontId="0" fillId="0" borderId="0" xfId="0" applyNumberFormat="1" applyProtection="1">
      <protection locked="0"/>
    </xf>
    <xf numFmtId="0" fontId="5" fillId="8" borderId="23" xfId="0" applyFont="1" applyFill="1" applyBorder="1" applyAlignment="1" applyProtection="1">
      <alignment vertical="center"/>
      <protection locked="0"/>
    </xf>
    <xf numFmtId="0" fontId="2" fillId="8" borderId="24" xfId="0" applyFont="1" applyFill="1" applyBorder="1" applyAlignment="1" applyProtection="1">
      <alignment vertical="center"/>
      <protection locked="0"/>
    </xf>
    <xf numFmtId="0" fontId="28" fillId="0" borderId="12" xfId="0" applyFont="1" applyFill="1" applyBorder="1" applyAlignment="1" applyProtection="1">
      <alignment horizontal="center" vertical="top"/>
      <protection locked="0"/>
    </xf>
    <xf numFmtId="165" fontId="30" fillId="0" borderId="30" xfId="0" applyNumberFormat="1" applyFont="1" applyFill="1" applyBorder="1" applyAlignment="1" applyProtection="1">
      <alignment horizontal="left" vertical="top"/>
      <protection locked="0"/>
    </xf>
    <xf numFmtId="0" fontId="5" fillId="8" borderId="14" xfId="0" applyFont="1" applyFill="1" applyBorder="1" applyAlignment="1" applyProtection="1">
      <alignment vertical="center"/>
      <protection locked="0"/>
    </xf>
    <xf numFmtId="0" fontId="5" fillId="8" borderId="15" xfId="0" applyFont="1" applyFill="1" applyBorder="1" applyProtection="1">
      <protection locked="0"/>
    </xf>
    <xf numFmtId="0" fontId="2" fillId="8" borderId="14" xfId="0" applyFont="1" applyFill="1" applyBorder="1" applyAlignment="1" applyProtection="1">
      <alignment vertical="center"/>
      <protection locked="0"/>
    </xf>
    <xf numFmtId="0" fontId="0" fillId="8" borderId="16" xfId="0" applyFill="1" applyBorder="1" applyAlignment="1" applyProtection="1">
      <protection locked="0"/>
    </xf>
    <xf numFmtId="0" fontId="3" fillId="8" borderId="5" xfId="0" applyFont="1" applyFill="1" applyBorder="1" applyProtection="1">
      <protection locked="0"/>
    </xf>
    <xf numFmtId="0" fontId="5" fillId="8" borderId="16" xfId="0" applyFont="1" applyFill="1" applyBorder="1" applyAlignment="1" applyProtection="1">
      <alignment vertical="center"/>
      <protection locked="0"/>
    </xf>
    <xf numFmtId="165" fontId="30" fillId="5" borderId="5" xfId="0" applyNumberFormat="1" applyFont="1" applyFill="1" applyBorder="1" applyAlignment="1" applyProtection="1">
      <alignment horizontal="center" vertical="center" wrapText="1"/>
      <protection locked="0"/>
    </xf>
    <xf numFmtId="0" fontId="2" fillId="8" borderId="13" xfId="0" applyFont="1" applyFill="1" applyBorder="1" applyProtection="1">
      <protection locked="0"/>
    </xf>
    <xf numFmtId="0" fontId="2" fillId="8" borderId="32" xfId="0" applyFont="1" applyFill="1" applyBorder="1" applyAlignment="1" applyProtection="1">
      <alignment vertical="center"/>
      <protection locked="0"/>
    </xf>
    <xf numFmtId="0" fontId="0" fillId="8" borderId="32" xfId="0" applyFill="1" applyBorder="1" applyAlignment="1" applyProtection="1">
      <protection locked="0"/>
    </xf>
    <xf numFmtId="3" fontId="24" fillId="0" borderId="30" xfId="0" applyNumberFormat="1" applyFont="1" applyBorder="1" applyAlignment="1" applyProtection="1">
      <alignment horizontal="center" vertical="top"/>
      <protection locked="0"/>
    </xf>
    <xf numFmtId="0" fontId="5" fillId="0" borderId="0" xfId="0" applyFont="1" applyFill="1" applyBorder="1" applyProtection="1">
      <protection locked="0"/>
    </xf>
    <xf numFmtId="0" fontId="2" fillId="8" borderId="13" xfId="0" applyFont="1" applyFill="1" applyBorder="1" applyAlignment="1" applyProtection="1">
      <protection locked="0"/>
    </xf>
    <xf numFmtId="0" fontId="3" fillId="0" borderId="0" xfId="0" applyFont="1" applyBorder="1" applyAlignment="1" applyProtection="1">
      <alignment vertical="top" wrapText="1"/>
      <protection locked="0"/>
    </xf>
    <xf numFmtId="0" fontId="0" fillId="0" borderId="0" xfId="0" applyBorder="1" applyAlignment="1" applyProtection="1">
      <alignment horizontal="center" vertical="center"/>
      <protection locked="0"/>
    </xf>
    <xf numFmtId="0" fontId="0" fillId="0" borderId="0" xfId="0" applyAlignment="1" applyProtection="1">
      <alignment vertical="justify"/>
      <protection locked="0"/>
    </xf>
    <xf numFmtId="0" fontId="0" fillId="0" borderId="0" xfId="0" applyBorder="1" applyAlignment="1" applyProtection="1">
      <alignment vertical="justify"/>
      <protection locked="0"/>
    </xf>
    <xf numFmtId="0" fontId="24" fillId="0" borderId="0" xfId="0" applyFont="1" applyFill="1" applyAlignment="1" applyProtection="1">
      <alignment horizontal="left" vertical="top"/>
      <protection locked="0"/>
    </xf>
    <xf numFmtId="0" fontId="24" fillId="0" borderId="0" xfId="0" applyFont="1" applyAlignment="1" applyProtection="1">
      <protection locked="0"/>
    </xf>
    <xf numFmtId="165" fontId="24" fillId="0" borderId="0" xfId="0" applyNumberFormat="1" applyFont="1" applyProtection="1">
      <protection locked="0"/>
    </xf>
    <xf numFmtId="0" fontId="2" fillId="8" borderId="14" xfId="0" applyFont="1" applyFill="1" applyBorder="1" applyAlignment="1" applyProtection="1">
      <alignment horizontal="left" vertical="center"/>
      <protection locked="0"/>
    </xf>
    <xf numFmtId="0" fontId="2" fillId="8" borderId="22" xfId="0" applyFont="1" applyFill="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1" fontId="2" fillId="8" borderId="35" xfId="0" applyNumberFormat="1" applyFont="1" applyFill="1" applyBorder="1" applyAlignment="1" applyProtection="1">
      <alignment horizontal="left" vertical="center" wrapText="1" shrinkToFit="1"/>
      <protection locked="0" hidden="1"/>
    </xf>
    <xf numFmtId="0" fontId="35" fillId="0" borderId="0" xfId="0" applyFont="1" applyFill="1"/>
    <xf numFmtId="0" fontId="15" fillId="0" borderId="0" xfId="0" applyFont="1"/>
    <xf numFmtId="0" fontId="2" fillId="8" borderId="43" xfId="0" applyFont="1" applyFill="1" applyBorder="1" applyAlignment="1" applyProtection="1">
      <alignment horizontal="center" vertical="center" wrapText="1"/>
      <protection locked="0"/>
    </xf>
    <xf numFmtId="0" fontId="2" fillId="14" borderId="5" xfId="0" applyNumberFormat="1" applyFont="1" applyFill="1" applyBorder="1" applyAlignment="1">
      <alignment horizontal="center"/>
    </xf>
    <xf numFmtId="10" fontId="2" fillId="14" borderId="5" xfId="0" applyNumberFormat="1" applyFont="1" applyFill="1" applyBorder="1" applyAlignment="1">
      <alignment horizontal="center"/>
    </xf>
    <xf numFmtId="0" fontId="2" fillId="13" borderId="31" xfId="0" applyFont="1" applyFill="1" applyBorder="1" applyAlignment="1" applyProtection="1">
      <alignment horizontal="center" vertical="center" wrapText="1"/>
      <protection locked="0"/>
    </xf>
    <xf numFmtId="166" fontId="2" fillId="0" borderId="31" xfId="0" applyNumberFormat="1" applyFont="1" applyFill="1" applyBorder="1" applyAlignment="1" applyProtection="1">
      <alignment horizontal="center"/>
      <protection locked="0"/>
    </xf>
    <xf numFmtId="0" fontId="2" fillId="0" borderId="0" xfId="0" applyFont="1" applyAlignment="1">
      <alignment vertical="top" wrapText="1"/>
    </xf>
    <xf numFmtId="0" fontId="3" fillId="8" borderId="5" xfId="0" applyFont="1" applyFill="1" applyBorder="1" applyAlignment="1" applyProtection="1">
      <alignment horizontal="center" vertical="top"/>
      <protection locked="0"/>
    </xf>
    <xf numFmtId="0" fontId="2" fillId="0" borderId="0" xfId="0" applyFont="1" applyAlignment="1">
      <alignment vertical="top" wrapText="1"/>
    </xf>
    <xf numFmtId="0" fontId="2" fillId="0" borderId="11" xfId="0" applyNumberFormat="1" applyFont="1" applyFill="1" applyBorder="1" applyAlignment="1">
      <alignment horizontal="left"/>
    </xf>
    <xf numFmtId="10" fontId="2" fillId="0" borderId="11" xfId="0" applyNumberFormat="1" applyFont="1" applyFill="1" applyBorder="1" applyAlignment="1">
      <alignment horizontal="center"/>
    </xf>
    <xf numFmtId="8" fontId="2" fillId="0" borderId="11" xfId="0" applyNumberFormat="1" applyFont="1" applyFill="1" applyBorder="1" applyAlignment="1">
      <alignment horizontal="center"/>
    </xf>
    <xf numFmtId="0" fontId="2" fillId="14" borderId="11" xfId="0" applyNumberFormat="1" applyFont="1" applyFill="1" applyBorder="1" applyAlignment="1">
      <alignment horizontal="center"/>
    </xf>
    <xf numFmtId="10" fontId="2" fillId="14" borderId="11" xfId="0" applyNumberFormat="1" applyFont="1" applyFill="1" applyBorder="1" applyAlignment="1">
      <alignment horizontal="center"/>
    </xf>
    <xf numFmtId="0" fontId="5" fillId="14" borderId="5" xfId="0" applyFont="1" applyFill="1" applyBorder="1" applyAlignment="1">
      <alignment horizontal="center" vertical="top" wrapText="1"/>
    </xf>
    <xf numFmtId="0" fontId="5" fillId="14" borderId="11" xfId="0" applyFont="1" applyFill="1" applyBorder="1" applyAlignment="1">
      <alignment horizontal="center" vertical="top" wrapText="1"/>
    </xf>
    <xf numFmtId="0" fontId="2" fillId="14" borderId="5" xfId="0" applyNumberFormat="1" applyFont="1" applyFill="1" applyBorder="1" applyAlignment="1">
      <alignment horizontal="center" vertical="center"/>
    </xf>
    <xf numFmtId="8" fontId="2" fillId="14" borderId="5" xfId="0" applyNumberFormat="1" applyFont="1" applyFill="1" applyBorder="1" applyAlignment="1">
      <alignment horizontal="center" vertical="center"/>
    </xf>
    <xf numFmtId="0" fontId="35" fillId="0" borderId="0" xfId="0" applyFont="1"/>
    <xf numFmtId="0" fontId="27" fillId="5" borderId="37" xfId="0" applyFont="1" applyFill="1" applyBorder="1" applyAlignment="1" applyProtection="1">
      <alignment horizontal="center" vertical="center" wrapText="1"/>
      <protection locked="0"/>
    </xf>
    <xf numFmtId="0" fontId="32" fillId="13" borderId="0" xfId="0" applyFont="1" applyFill="1" applyBorder="1" applyAlignment="1" applyProtection="1">
      <alignment horizontal="left"/>
      <protection locked="0"/>
    </xf>
    <xf numFmtId="0" fontId="2" fillId="8" borderId="16" xfId="0" applyFont="1" applyFill="1" applyBorder="1" applyAlignment="1" applyProtection="1">
      <protection locked="0"/>
    </xf>
    <xf numFmtId="0" fontId="2" fillId="8" borderId="46" xfId="0" applyFont="1" applyFill="1" applyBorder="1" applyAlignment="1" applyProtection="1">
      <protection locked="0"/>
    </xf>
    <xf numFmtId="0" fontId="2" fillId="8" borderId="65" xfId="0" applyFont="1" applyFill="1" applyBorder="1" applyAlignment="1" applyProtection="1">
      <alignment vertical="center" wrapText="1"/>
      <protection locked="0"/>
    </xf>
    <xf numFmtId="0" fontId="2" fillId="8" borderId="58" xfId="0" applyFont="1" applyFill="1" applyBorder="1" applyAlignment="1" applyProtection="1">
      <alignment vertical="center" wrapText="1"/>
      <protection locked="0"/>
    </xf>
    <xf numFmtId="0" fontId="2" fillId="8" borderId="5" xfId="0" applyNumberFormat="1" applyFont="1" applyFill="1" applyBorder="1" applyAlignment="1" applyProtection="1">
      <alignment vertical="top" wrapText="1" readingOrder="1"/>
      <protection locked="0"/>
    </xf>
    <xf numFmtId="0" fontId="2" fillId="0" borderId="5" xfId="0" applyNumberFormat="1" applyFont="1" applyBorder="1" applyAlignment="1" applyProtection="1">
      <alignment horizontal="left" vertical="top" wrapText="1" readingOrder="1"/>
      <protection locked="0"/>
    </xf>
    <xf numFmtId="0" fontId="2" fillId="8" borderId="37" xfId="0" applyNumberFormat="1" applyFont="1" applyFill="1" applyBorder="1" applyAlignment="1" applyProtection="1">
      <alignment vertical="top" wrapText="1" readingOrder="1"/>
      <protection locked="0"/>
    </xf>
    <xf numFmtId="0" fontId="2" fillId="8" borderId="13" xfId="0" applyNumberFormat="1" applyFont="1" applyFill="1" applyBorder="1" applyAlignment="1" applyProtection="1">
      <alignment vertical="top" readingOrder="1"/>
      <protection locked="0"/>
    </xf>
    <xf numFmtId="0" fontId="2" fillId="8" borderId="13" xfId="0" applyNumberFormat="1" applyFont="1" applyFill="1" applyBorder="1" applyAlignment="1" applyProtection="1">
      <alignment vertical="top" wrapText="1" readingOrder="1"/>
      <protection locked="0"/>
    </xf>
    <xf numFmtId="0" fontId="2" fillId="8" borderId="18" xfId="0" applyNumberFormat="1" applyFont="1" applyFill="1" applyBorder="1" applyAlignment="1" applyProtection="1">
      <alignment vertical="top" wrapText="1" readingOrder="1"/>
      <protection locked="0"/>
    </xf>
    <xf numFmtId="0" fontId="2" fillId="0" borderId="52" xfId="0" applyNumberFormat="1" applyFont="1" applyBorder="1" applyAlignment="1" applyProtection="1">
      <alignment horizontal="left" vertical="top" wrapText="1" readingOrder="1"/>
      <protection locked="0"/>
    </xf>
    <xf numFmtId="0" fontId="2" fillId="8" borderId="52" xfId="0" applyNumberFormat="1" applyFont="1" applyFill="1" applyBorder="1" applyAlignment="1" applyProtection="1">
      <alignment vertical="top" wrapText="1" readingOrder="1"/>
      <protection locked="0"/>
    </xf>
    <xf numFmtId="0" fontId="2" fillId="8" borderId="11" xfId="0" applyFont="1" applyFill="1" applyBorder="1" applyAlignment="1" applyProtection="1">
      <alignment horizontal="center" vertical="center"/>
      <protection locked="0"/>
    </xf>
    <xf numFmtId="0" fontId="2" fillId="0" borderId="0" xfId="0" applyFont="1" applyAlignment="1">
      <alignment vertical="top"/>
    </xf>
    <xf numFmtId="0" fontId="4" fillId="0" borderId="0" xfId="0" applyFont="1" applyAlignment="1">
      <alignment horizontal="left" vertical="center"/>
    </xf>
    <xf numFmtId="0" fontId="1" fillId="0" borderId="0" xfId="0" applyFont="1" applyFill="1"/>
    <xf numFmtId="0" fontId="37" fillId="0" borderId="0" xfId="0" applyFont="1"/>
    <xf numFmtId="0" fontId="9" fillId="0" borderId="0" xfId="0" applyFont="1" applyFill="1" applyBorder="1" applyAlignment="1">
      <alignment horizontal="left" vertical="justify"/>
    </xf>
    <xf numFmtId="0" fontId="34" fillId="0" borderId="0" xfId="0" applyFont="1" applyFill="1" applyBorder="1" applyAlignment="1">
      <alignment horizontal="left" vertical="top" wrapText="1"/>
    </xf>
    <xf numFmtId="0" fontId="1" fillId="0" borderId="0" xfId="0" applyFont="1" applyFill="1" applyBorder="1" applyAlignment="1">
      <alignment horizontal="left" vertical="justify"/>
    </xf>
    <xf numFmtId="0" fontId="9" fillId="0" borderId="0" xfId="0" applyFont="1" applyFill="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vertical="top" wrapText="1"/>
    </xf>
    <xf numFmtId="0" fontId="1" fillId="0" borderId="0" xfId="0" applyFont="1" applyBorder="1" applyAlignment="1"/>
    <xf numFmtId="0" fontId="1" fillId="0" borderId="5" xfId="0" applyFont="1" applyBorder="1" applyAlignment="1">
      <alignment horizontal="center" vertical="top" wrapText="1"/>
    </xf>
    <xf numFmtId="0" fontId="1" fillId="0" borderId="5" xfId="0" applyFont="1" applyBorder="1" applyAlignment="1">
      <alignment vertical="top" wrapText="1"/>
    </xf>
    <xf numFmtId="1" fontId="1" fillId="0" borderId="11" xfId="0" applyNumberFormat="1" applyFont="1" applyFill="1" applyBorder="1" applyAlignment="1">
      <alignment horizontal="center" vertical="top" wrapText="1"/>
    </xf>
    <xf numFmtId="0" fontId="1" fillId="0" borderId="11" xfId="0" applyNumberFormat="1" applyFont="1" applyFill="1" applyBorder="1" applyAlignment="1">
      <alignment horizontal="left" vertical="top" wrapText="1"/>
    </xf>
    <xf numFmtId="0" fontId="1" fillId="0" borderId="5" xfId="0" applyFont="1" applyBorder="1" applyAlignment="1">
      <alignment horizontal="left" vertical="top" wrapText="1"/>
    </xf>
    <xf numFmtId="0" fontId="1" fillId="0" borderId="11" xfId="0" applyFont="1" applyBorder="1" applyAlignment="1">
      <alignment horizontal="left" vertical="top" wrapText="1"/>
    </xf>
    <xf numFmtId="0" fontId="41" fillId="0" borderId="0" xfId="0" applyFont="1" applyAlignment="1" applyProtection="1">
      <alignment vertical="center"/>
      <protection locked="0"/>
    </xf>
    <xf numFmtId="0" fontId="24" fillId="8" borderId="24" xfId="0" applyFont="1" applyFill="1" applyBorder="1" applyAlignment="1" applyProtection="1">
      <alignment horizontal="center" vertical="top"/>
      <protection locked="0"/>
    </xf>
    <xf numFmtId="0" fontId="24" fillId="0" borderId="16" xfId="0" applyFont="1" applyFill="1" applyBorder="1" applyAlignment="1" applyProtection="1">
      <alignment horizontal="left" vertical="top"/>
      <protection locked="0"/>
    </xf>
    <xf numFmtId="0" fontId="24" fillId="0" borderId="30" xfId="0" applyFont="1" applyFill="1" applyBorder="1" applyAlignment="1" applyProtection="1">
      <alignment horizontal="left" vertical="top"/>
      <protection locked="0"/>
    </xf>
    <xf numFmtId="0" fontId="24" fillId="4" borderId="38" xfId="0" applyFont="1" applyFill="1" applyBorder="1" applyProtection="1">
      <protection locked="0" hidden="1"/>
    </xf>
    <xf numFmtId="40" fontId="24" fillId="0" borderId="5" xfId="0" applyNumberFormat="1" applyFont="1" applyFill="1" applyBorder="1" applyAlignment="1" applyProtection="1">
      <alignment horizontal="center" vertical="top"/>
      <protection locked="0" hidden="1"/>
    </xf>
    <xf numFmtId="165" fontId="30" fillId="7" borderId="5" xfId="0" applyNumberFormat="1" applyFont="1" applyFill="1" applyBorder="1" applyAlignment="1" applyProtection="1">
      <alignment horizontal="center" vertical="center" wrapText="1"/>
      <protection locked="0"/>
    </xf>
    <xf numFmtId="3" fontId="24" fillId="7" borderId="30" xfId="0" applyNumberFormat="1" applyFont="1" applyFill="1" applyBorder="1" applyAlignment="1" applyProtection="1">
      <alignment horizontal="center" vertical="top"/>
      <protection locked="0"/>
    </xf>
    <xf numFmtId="8" fontId="5" fillId="14" borderId="12" xfId="0" applyNumberFormat="1" applyFont="1" applyFill="1" applyBorder="1" applyAlignment="1" applyProtection="1">
      <alignment horizontal="center"/>
      <protection hidden="1"/>
    </xf>
    <xf numFmtId="8" fontId="5" fillId="8" borderId="29" xfId="0" applyNumberFormat="1" applyFont="1" applyFill="1" applyBorder="1" applyAlignment="1" applyProtection="1">
      <alignment horizontal="center"/>
      <protection locked="0"/>
    </xf>
    <xf numFmtId="0" fontId="24" fillId="0" borderId="43" xfId="0" applyFont="1" applyFill="1" applyBorder="1" applyAlignment="1" applyProtection="1">
      <alignment horizontal="left" vertical="top"/>
      <protection locked="0"/>
    </xf>
    <xf numFmtId="7" fontId="24" fillId="11" borderId="11" xfId="0" applyNumberFormat="1" applyFont="1" applyFill="1" applyBorder="1" applyAlignment="1" applyProtection="1">
      <alignment horizontal="left" vertical="top"/>
      <protection locked="0"/>
    </xf>
    <xf numFmtId="0" fontId="24" fillId="8" borderId="13" xfId="0" applyFont="1" applyFill="1" applyBorder="1" applyProtection="1">
      <protection locked="0"/>
    </xf>
    <xf numFmtId="0" fontId="24" fillId="8" borderId="13" xfId="0" applyFont="1" applyFill="1" applyBorder="1" applyAlignment="1" applyProtection="1">
      <protection locked="0"/>
    </xf>
    <xf numFmtId="0" fontId="24" fillId="8" borderId="5" xfId="0" applyFont="1" applyFill="1" applyBorder="1" applyProtection="1">
      <protection locked="0"/>
    </xf>
    <xf numFmtId="0" fontId="24" fillId="8" borderId="5" xfId="0" applyFont="1" applyFill="1" applyBorder="1" applyAlignment="1" applyProtection="1">
      <alignment horizontal="center"/>
      <protection locked="0"/>
    </xf>
    <xf numFmtId="165" fontId="24" fillId="16" borderId="30" xfId="0" applyNumberFormat="1" applyFont="1" applyFill="1" applyBorder="1" applyAlignment="1" applyProtection="1">
      <alignment horizontal="left" vertical="top"/>
      <protection locked="0"/>
    </xf>
    <xf numFmtId="0" fontId="42" fillId="0" borderId="30" xfId="0" applyFont="1" applyBorder="1" applyAlignment="1" applyProtection="1">
      <alignment horizontal="center" vertical="top"/>
      <protection locked="0"/>
    </xf>
    <xf numFmtId="0" fontId="42" fillId="0" borderId="30" xfId="0" applyFont="1" applyFill="1" applyBorder="1" applyAlignment="1" applyProtection="1">
      <alignment horizontal="center" vertical="top"/>
      <protection locked="0"/>
    </xf>
    <xf numFmtId="0" fontId="11" fillId="8" borderId="37" xfId="0" applyFont="1" applyFill="1" applyBorder="1" applyAlignment="1" applyProtection="1">
      <alignment horizontal="center" vertical="center" wrapText="1"/>
      <protection locked="0"/>
    </xf>
    <xf numFmtId="2" fontId="2" fillId="0" borderId="12" xfId="0" applyNumberFormat="1" applyFont="1" applyBorder="1" applyAlignment="1" applyProtection="1">
      <alignment horizontal="center" vertical="center"/>
      <protection locked="0"/>
    </xf>
    <xf numFmtId="0" fontId="27" fillId="12" borderId="5" xfId="0" applyFont="1" applyFill="1" applyBorder="1" applyAlignment="1" applyProtection="1">
      <alignment horizontal="center" vertical="top"/>
      <protection locked="0"/>
    </xf>
    <xf numFmtId="0" fontId="6" fillId="8" borderId="5" xfId="0" applyFont="1" applyFill="1" applyBorder="1" applyAlignment="1" applyProtection="1">
      <alignment horizontal="center"/>
      <protection locked="0"/>
    </xf>
    <xf numFmtId="0" fontId="6" fillId="8" borderId="30" xfId="0" applyFont="1" applyFill="1" applyBorder="1" applyAlignment="1" applyProtection="1">
      <alignment horizontal="center"/>
      <protection locked="0"/>
    </xf>
    <xf numFmtId="3" fontId="45" fillId="0" borderId="30" xfId="0" applyNumberFormat="1" applyFont="1" applyBorder="1" applyAlignment="1" applyProtection="1">
      <alignment horizontal="center" vertical="top"/>
      <protection locked="0"/>
    </xf>
    <xf numFmtId="3" fontId="45" fillId="0" borderId="5" xfId="0" applyNumberFormat="1" applyFont="1" applyBorder="1" applyAlignment="1" applyProtection="1">
      <alignment horizontal="center" vertical="top"/>
      <protection locked="0"/>
    </xf>
    <xf numFmtId="14" fontId="41" fillId="0" borderId="0" xfId="0" applyNumberFormat="1" applyFont="1" applyAlignment="1" applyProtection="1">
      <alignment vertical="center"/>
      <protection locked="0"/>
    </xf>
    <xf numFmtId="0" fontId="11" fillId="8" borderId="5" xfId="0" applyFont="1" applyFill="1" applyBorder="1" applyAlignment="1" applyProtection="1">
      <alignment horizontal="center"/>
      <protection locked="0"/>
    </xf>
    <xf numFmtId="3" fontId="2" fillId="8" borderId="31" xfId="1" applyNumberFormat="1" applyFont="1" applyFill="1" applyBorder="1" applyAlignment="1" applyProtection="1">
      <alignment horizontal="center"/>
      <protection hidden="1"/>
    </xf>
    <xf numFmtId="7" fontId="24" fillId="7" borderId="5" xfId="0" applyNumberFormat="1" applyFont="1" applyFill="1" applyBorder="1" applyAlignment="1" applyProtection="1">
      <alignment horizontal="left" vertical="top"/>
      <protection locked="0"/>
    </xf>
    <xf numFmtId="0" fontId="26" fillId="0" borderId="31" xfId="0" applyFont="1" applyFill="1" applyBorder="1" applyAlignment="1" applyProtection="1">
      <alignment horizontal="left" vertical="top"/>
      <protection locked="0"/>
    </xf>
    <xf numFmtId="165" fontId="26" fillId="0" borderId="11" xfId="0" applyNumberFormat="1" applyFont="1" applyFill="1" applyBorder="1" applyAlignment="1" applyProtection="1">
      <alignment horizontal="left" vertical="top"/>
      <protection locked="0"/>
    </xf>
    <xf numFmtId="7" fontId="26" fillId="11" borderId="5" xfId="0" applyNumberFormat="1" applyFont="1" applyFill="1" applyBorder="1" applyAlignment="1" applyProtection="1">
      <alignment horizontal="left" vertical="top"/>
      <protection locked="0"/>
    </xf>
    <xf numFmtId="165" fontId="26" fillId="12" borderId="11" xfId="0" applyNumberFormat="1" applyFont="1" applyFill="1" applyBorder="1" applyAlignment="1" applyProtection="1">
      <alignment horizontal="left" vertical="top"/>
      <protection locked="0"/>
    </xf>
    <xf numFmtId="0" fontId="26" fillId="0" borderId="5" xfId="0" applyFont="1" applyFill="1" applyBorder="1" applyAlignment="1" applyProtection="1">
      <alignment horizontal="left" vertical="top"/>
      <protection locked="0"/>
    </xf>
    <xf numFmtId="0" fontId="2" fillId="0" borderId="16" xfId="0" applyFont="1" applyFill="1" applyBorder="1" applyAlignment="1" applyProtection="1">
      <protection locked="0"/>
    </xf>
    <xf numFmtId="0" fontId="2" fillId="0" borderId="14" xfId="0" applyFont="1" applyFill="1" applyBorder="1" applyAlignment="1" applyProtection="1">
      <protection locked="0"/>
    </xf>
    <xf numFmtId="0" fontId="46" fillId="0" borderId="0" xfId="0" applyFont="1" applyAlignment="1" applyProtection="1">
      <alignment vertical="center"/>
      <protection locked="0"/>
    </xf>
    <xf numFmtId="7" fontId="24" fillId="0" borderId="11" xfId="0" applyNumberFormat="1" applyFont="1" applyFill="1" applyBorder="1" applyAlignment="1" applyProtection="1">
      <alignment horizontal="left" vertical="top"/>
      <protection locked="0"/>
    </xf>
    <xf numFmtId="165" fontId="24" fillId="0" borderId="5" xfId="0" applyNumberFormat="1" applyFont="1" applyFill="1" applyBorder="1" applyAlignment="1" applyProtection="1">
      <alignment horizontal="left" vertical="top"/>
      <protection locked="0"/>
    </xf>
    <xf numFmtId="7" fontId="24" fillId="0" borderId="5" xfId="0" applyNumberFormat="1" applyFont="1" applyFill="1" applyBorder="1" applyAlignment="1" applyProtection="1">
      <alignment horizontal="left" vertical="top"/>
      <protection locked="0"/>
    </xf>
    <xf numFmtId="165" fontId="24" fillId="0" borderId="31" xfId="0" applyNumberFormat="1" applyFont="1" applyFill="1" applyBorder="1" applyAlignment="1" applyProtection="1">
      <alignment horizontal="left" vertical="top"/>
      <protection locked="0"/>
    </xf>
    <xf numFmtId="7" fontId="24" fillId="0" borderId="31" xfId="0" applyNumberFormat="1" applyFont="1" applyFill="1" applyBorder="1" applyAlignment="1" applyProtection="1">
      <alignment horizontal="left" vertical="top"/>
      <protection locked="0"/>
    </xf>
    <xf numFmtId="165" fontId="24" fillId="0" borderId="37" xfId="0" applyNumberFormat="1" applyFont="1" applyFill="1" applyBorder="1" applyAlignment="1" applyProtection="1">
      <alignment horizontal="left" vertical="top"/>
      <protection locked="0"/>
    </xf>
    <xf numFmtId="0" fontId="5" fillId="14" borderId="11" xfId="0" applyFont="1" applyFill="1" applyBorder="1" applyAlignment="1">
      <alignment horizontal="center" vertical="top" wrapText="1"/>
    </xf>
    <xf numFmtId="0" fontId="2" fillId="14" borderId="31" xfId="0" applyNumberFormat="1" applyFont="1" applyFill="1" applyBorder="1" applyAlignment="1">
      <alignment horizontal="center" vertical="center"/>
    </xf>
    <xf numFmtId="165" fontId="26" fillId="0" borderId="5" xfId="0" applyNumberFormat="1" applyFont="1" applyFill="1" applyBorder="1" applyAlignment="1" applyProtection="1">
      <alignment horizontal="left" vertical="top"/>
      <protection locked="0"/>
    </xf>
    <xf numFmtId="7" fontId="26" fillId="0" borderId="5" xfId="0" applyNumberFormat="1" applyFont="1" applyFill="1" applyBorder="1" applyAlignment="1" applyProtection="1">
      <alignment horizontal="left" vertical="top"/>
      <protection locked="0"/>
    </xf>
    <xf numFmtId="0" fontId="2" fillId="0" borderId="11" xfId="0" applyNumberFormat="1" applyFont="1" applyFill="1" applyBorder="1" applyAlignment="1">
      <alignment horizontal="left" vertical="top" wrapText="1"/>
    </xf>
    <xf numFmtId="0" fontId="2" fillId="0" borderId="11" xfId="0" applyNumberFormat="1" applyFont="1" applyFill="1" applyBorder="1" applyAlignment="1">
      <alignment horizontal="center" vertical="top"/>
    </xf>
    <xf numFmtId="8" fontId="2" fillId="0" borderId="11" xfId="0" applyNumberFormat="1" applyFont="1" applyFill="1" applyBorder="1" applyAlignment="1">
      <alignment horizontal="center" vertical="top"/>
    </xf>
    <xf numFmtId="8" fontId="2" fillId="14" borderId="11" xfId="0" applyNumberFormat="1" applyFont="1" applyFill="1" applyBorder="1" applyAlignment="1">
      <alignment horizontal="center" vertical="top"/>
    </xf>
    <xf numFmtId="0" fontId="2" fillId="14" borderId="11" xfId="0" applyNumberFormat="1" applyFont="1" applyFill="1" applyBorder="1" applyAlignment="1">
      <alignment horizontal="center" vertical="top"/>
    </xf>
    <xf numFmtId="10" fontId="2" fillId="14" borderId="11" xfId="0" applyNumberFormat="1" applyFont="1" applyFill="1" applyBorder="1" applyAlignment="1">
      <alignment horizontal="center" vertical="top"/>
    </xf>
    <xf numFmtId="0" fontId="36" fillId="17" borderId="39" xfId="0" applyFont="1" applyFill="1" applyBorder="1" applyAlignment="1" applyProtection="1">
      <alignment horizontal="left"/>
      <protection locked="0"/>
    </xf>
    <xf numFmtId="0" fontId="35" fillId="17" borderId="36" xfId="0" applyFont="1" applyFill="1" applyBorder="1" applyAlignment="1" applyProtection="1">
      <alignment horizontal="center" vertical="center"/>
      <protection locked="0"/>
    </xf>
    <xf numFmtId="0" fontId="36" fillId="17" borderId="41" xfId="0" applyFont="1" applyFill="1" applyBorder="1" applyAlignment="1" applyProtection="1">
      <alignment horizontal="left" vertical="center" wrapText="1"/>
      <protection locked="0"/>
    </xf>
    <xf numFmtId="0" fontId="35" fillId="17" borderId="42" xfId="0" applyFont="1" applyFill="1" applyBorder="1" applyAlignment="1" applyProtection="1">
      <alignment horizontal="center" vertical="center"/>
      <protection locked="0"/>
    </xf>
    <xf numFmtId="171" fontId="28" fillId="7" borderId="10" xfId="0" applyNumberFormat="1" applyFont="1" applyFill="1" applyBorder="1" applyAlignment="1" applyProtection="1">
      <alignment horizontal="left" vertical="top"/>
      <protection locked="0"/>
    </xf>
    <xf numFmtId="171" fontId="28" fillId="7" borderId="9" xfId="0" applyNumberFormat="1" applyFont="1" applyFill="1" applyBorder="1" applyAlignment="1" applyProtection="1">
      <alignment horizontal="left" vertical="top"/>
      <protection locked="0"/>
    </xf>
    <xf numFmtId="49" fontId="2" fillId="0" borderId="11" xfId="0" applyNumberFormat="1" applyFont="1" applyFill="1" applyBorder="1" applyAlignment="1" applyProtection="1">
      <alignment horizontal="center"/>
      <protection locked="0"/>
    </xf>
    <xf numFmtId="0" fontId="2" fillId="8" borderId="21" xfId="0" applyFont="1" applyFill="1" applyBorder="1" applyAlignment="1" applyProtection="1">
      <alignment vertical="top"/>
      <protection locked="0"/>
    </xf>
    <xf numFmtId="0" fontId="2" fillId="8" borderId="20" xfId="0" applyFont="1" applyFill="1" applyBorder="1" applyAlignment="1" applyProtection="1">
      <alignment vertical="top"/>
      <protection locked="0"/>
    </xf>
    <xf numFmtId="0" fontId="24" fillId="15" borderId="5" xfId="0" applyFont="1" applyFill="1" applyBorder="1" applyAlignment="1">
      <alignment horizontal="left" vertical="center"/>
    </xf>
    <xf numFmtId="170" fontId="24" fillId="15" borderId="5" xfId="0" applyNumberFormat="1" applyFont="1" applyFill="1" applyBorder="1" applyAlignment="1">
      <alignment horizontal="center"/>
    </xf>
    <xf numFmtId="165" fontId="28" fillId="6" borderId="5" xfId="0" applyNumberFormat="1" applyFont="1" applyFill="1" applyBorder="1" applyAlignment="1" applyProtection="1">
      <alignment horizontal="center" vertical="center" wrapText="1"/>
      <protection locked="0"/>
    </xf>
    <xf numFmtId="165" fontId="28" fillId="5" borderId="5" xfId="0" applyNumberFormat="1" applyFont="1" applyFill="1" applyBorder="1" applyAlignment="1" applyProtection="1">
      <alignment horizontal="center" vertical="center" wrapText="1"/>
      <protection locked="0"/>
    </xf>
    <xf numFmtId="165" fontId="28" fillId="5" borderId="5" xfId="0" applyNumberFormat="1" applyFont="1" applyFill="1" applyBorder="1" applyAlignment="1" applyProtection="1">
      <alignment horizontal="center" vertical="center"/>
      <protection locked="0"/>
    </xf>
    <xf numFmtId="0" fontId="48" fillId="0" borderId="0" xfId="0" applyFont="1"/>
    <xf numFmtId="0" fontId="48" fillId="0" borderId="5" xfId="0" applyFont="1" applyBorder="1"/>
    <xf numFmtId="0" fontId="25" fillId="18" borderId="5" xfId="0" applyFont="1" applyFill="1" applyBorder="1" applyAlignment="1">
      <alignment horizontal="center" vertical="center" wrapText="1"/>
    </xf>
    <xf numFmtId="49" fontId="48" fillId="0" borderId="5" xfId="0" applyNumberFormat="1" applyFont="1" applyBorder="1" applyAlignment="1">
      <alignment horizontal="center" vertical="center"/>
    </xf>
    <xf numFmtId="0" fontId="48" fillId="0" borderId="5" xfId="0" applyNumberFormat="1" applyFont="1" applyBorder="1" applyAlignment="1">
      <alignment horizontal="center" vertical="center"/>
    </xf>
    <xf numFmtId="0" fontId="2" fillId="0" borderId="5" xfId="0" applyFont="1" applyBorder="1" applyAlignment="1">
      <alignment horizontal="center" vertical="top"/>
    </xf>
    <xf numFmtId="0" fontId="2" fillId="8" borderId="5" xfId="0" applyFont="1" applyFill="1" applyBorder="1" applyAlignment="1">
      <alignment vertical="top"/>
    </xf>
    <xf numFmtId="0" fontId="2" fillId="8" borderId="31" xfId="0" applyFont="1" applyFill="1" applyBorder="1" applyAlignment="1">
      <alignment vertical="top"/>
    </xf>
    <xf numFmtId="0" fontId="2" fillId="8" borderId="5" xfId="0" applyFont="1" applyFill="1" applyBorder="1" applyAlignment="1">
      <alignment horizontal="center" vertical="top" wrapText="1"/>
    </xf>
    <xf numFmtId="0" fontId="2" fillId="0" borderId="0" xfId="0" applyFont="1" applyAlignment="1">
      <alignment horizontal="center" vertical="top"/>
    </xf>
    <xf numFmtId="0" fontId="2" fillId="0" borderId="5" xfId="0" applyFont="1" applyFill="1" applyBorder="1" applyAlignment="1">
      <alignment horizontal="center" vertical="top"/>
    </xf>
    <xf numFmtId="0" fontId="2" fillId="8" borderId="30" xfId="0" applyFont="1" applyFill="1" applyBorder="1" applyAlignment="1">
      <alignment horizontal="center" vertical="top"/>
    </xf>
    <xf numFmtId="49" fontId="48" fillId="7" borderId="5" xfId="0" applyNumberFormat="1" applyFont="1" applyFill="1" applyBorder="1" applyAlignment="1">
      <alignment horizontal="center" vertical="center"/>
    </xf>
    <xf numFmtId="0" fontId="48" fillId="7" borderId="5" xfId="0" applyNumberFormat="1" applyFont="1" applyFill="1" applyBorder="1" applyAlignment="1">
      <alignment horizontal="center" vertical="center"/>
    </xf>
    <xf numFmtId="49" fontId="49" fillId="7" borderId="5" xfId="3" applyNumberFormat="1" applyFont="1" applyFill="1" applyBorder="1" applyAlignment="1">
      <alignment horizontal="center" vertical="top"/>
    </xf>
    <xf numFmtId="49" fontId="49" fillId="0" borderId="5" xfId="3" applyNumberFormat="1" applyFont="1" applyBorder="1" applyAlignment="1">
      <alignment horizontal="center" vertical="center"/>
    </xf>
    <xf numFmtId="0" fontId="49" fillId="0" borderId="5" xfId="3" applyNumberFormat="1" applyFont="1" applyBorder="1" applyAlignment="1">
      <alignment horizontal="center" vertical="center"/>
    </xf>
    <xf numFmtId="49" fontId="49" fillId="0" borderId="5" xfId="3" applyNumberFormat="1" applyFont="1" applyBorder="1" applyAlignment="1">
      <alignment horizontal="center" vertical="top"/>
    </xf>
    <xf numFmtId="49" fontId="49" fillId="7" borderId="5" xfId="3" applyNumberFormat="1" applyFont="1" applyFill="1" applyBorder="1" applyAlignment="1">
      <alignment horizontal="center" vertical="center"/>
    </xf>
    <xf numFmtId="0" fontId="49" fillId="7" borderId="5" xfId="3" applyNumberFormat="1" applyFont="1" applyFill="1" applyBorder="1" applyAlignment="1">
      <alignment horizontal="center" vertical="center"/>
    </xf>
    <xf numFmtId="0" fontId="49" fillId="0" borderId="5" xfId="3" applyNumberFormat="1" applyFont="1" applyBorder="1" applyAlignment="1">
      <alignment horizontal="center" vertical="top"/>
    </xf>
    <xf numFmtId="0" fontId="48" fillId="19" borderId="5" xfId="0" applyNumberFormat="1" applyFont="1" applyFill="1" applyBorder="1" applyAlignment="1">
      <alignment horizontal="center" vertical="center"/>
    </xf>
    <xf numFmtId="49" fontId="48" fillId="19" borderId="5" xfId="0" applyNumberFormat="1" applyFont="1" applyFill="1" applyBorder="1" applyAlignment="1">
      <alignment horizontal="center" vertical="center"/>
    </xf>
    <xf numFmtId="0" fontId="1" fillId="0" borderId="31" xfId="0" applyFont="1" applyBorder="1" applyAlignment="1">
      <alignment vertical="top"/>
    </xf>
    <xf numFmtId="0" fontId="1" fillId="0" borderId="16" xfId="0" applyFont="1" applyBorder="1" applyAlignment="1">
      <alignment vertical="top"/>
    </xf>
    <xf numFmtId="0" fontId="1" fillId="0" borderId="30" xfId="0" applyFont="1" applyBorder="1" applyAlignment="1">
      <alignment vertical="top"/>
    </xf>
    <xf numFmtId="171" fontId="27" fillId="7" borderId="10" xfId="0" applyNumberFormat="1" applyFont="1" applyFill="1" applyBorder="1" applyAlignment="1" applyProtection="1">
      <alignment horizontal="left" vertical="top"/>
      <protection locked="0"/>
    </xf>
    <xf numFmtId="0" fontId="24" fillId="15" borderId="5" xfId="0" applyFont="1" applyFill="1" applyBorder="1"/>
    <xf numFmtId="0" fontId="24" fillId="15" borderId="5" xfId="0" applyNumberFormat="1" applyFont="1" applyFill="1" applyBorder="1" applyAlignment="1">
      <alignment horizontal="left" vertical="center"/>
    </xf>
    <xf numFmtId="0" fontId="24" fillId="0" borderId="0" xfId="0" applyFont="1" applyAlignment="1">
      <alignment vertical="center"/>
    </xf>
    <xf numFmtId="0" fontId="24" fillId="15" borderId="5" xfId="0" applyFont="1" applyFill="1" applyBorder="1" applyAlignment="1"/>
    <xf numFmtId="170" fontId="24" fillId="15" borderId="5" xfId="0" quotePrefix="1" applyNumberFormat="1" applyFont="1" applyFill="1" applyBorder="1" applyAlignment="1">
      <alignment horizontal="center"/>
    </xf>
    <xf numFmtId="0" fontId="28" fillId="15" borderId="5" xfId="0" applyFont="1" applyFill="1" applyBorder="1" applyAlignment="1">
      <alignment horizontal="left" vertical="top"/>
    </xf>
    <xf numFmtId="0" fontId="28" fillId="15" borderId="5" xfId="0" applyFont="1" applyFill="1" applyBorder="1" applyAlignment="1">
      <alignment horizontal="left" vertical="center"/>
    </xf>
    <xf numFmtId="170" fontId="28" fillId="15" borderId="5" xfId="0" applyNumberFormat="1" applyFont="1" applyFill="1" applyBorder="1" applyAlignment="1">
      <alignment horizontal="center"/>
    </xf>
    <xf numFmtId="0" fontId="24" fillId="20" borderId="5" xfId="0" applyFont="1" applyFill="1" applyBorder="1"/>
    <xf numFmtId="0" fontId="24" fillId="20" borderId="5" xfId="0" applyFont="1" applyFill="1" applyBorder="1" applyAlignment="1">
      <alignment horizontal="left" vertical="center"/>
    </xf>
    <xf numFmtId="170" fontId="24" fillId="20" borderId="5" xfId="0" applyNumberFormat="1" applyFont="1" applyFill="1" applyBorder="1" applyAlignment="1">
      <alignment horizontal="center"/>
    </xf>
    <xf numFmtId="170" fontId="24" fillId="0" borderId="5" xfId="0" applyNumberFormat="1" applyFont="1" applyBorder="1" applyAlignment="1">
      <alignment horizontal="center"/>
    </xf>
    <xf numFmtId="165" fontId="26" fillId="0" borderId="31" xfId="0" applyNumberFormat="1" applyFont="1" applyFill="1" applyBorder="1" applyAlignment="1" applyProtection="1">
      <alignment horizontal="left" vertical="top"/>
      <protection locked="0"/>
    </xf>
    <xf numFmtId="0" fontId="1" fillId="0" borderId="5" xfId="0" applyFont="1" applyBorder="1" applyAlignment="1">
      <alignment wrapText="1"/>
    </xf>
    <xf numFmtId="0" fontId="13" fillId="14" borderId="29" xfId="0" applyFont="1" applyFill="1" applyBorder="1" applyAlignment="1">
      <alignment horizontal="center" vertical="justify"/>
    </xf>
    <xf numFmtId="0" fontId="13" fillId="14" borderId="4" xfId="0" applyFont="1" applyFill="1" applyBorder="1" applyAlignment="1">
      <alignment horizontal="center"/>
    </xf>
    <xf numFmtId="0" fontId="9" fillId="0" borderId="0" xfId="0" applyFont="1" applyFill="1" applyBorder="1" applyAlignment="1">
      <alignment horizontal="left" vertical="justify"/>
    </xf>
    <xf numFmtId="0" fontId="12" fillId="2" borderId="29" xfId="0" applyFont="1" applyFill="1" applyBorder="1" applyAlignment="1">
      <alignment horizontal="left" vertical="top"/>
    </xf>
    <xf numFmtId="0" fontId="12" fillId="2" borderId="4" xfId="0" applyFont="1" applyFill="1" applyBorder="1" applyAlignment="1">
      <alignment horizontal="left" vertical="top"/>
    </xf>
    <xf numFmtId="0" fontId="12" fillId="14" borderId="29" xfId="0" applyFont="1" applyFill="1" applyBorder="1" applyAlignment="1">
      <alignment horizontal="left"/>
    </xf>
    <xf numFmtId="0" fontId="12" fillId="14" borderId="4" xfId="0" applyFont="1" applyFill="1" applyBorder="1" applyAlignment="1">
      <alignment horizontal="left"/>
    </xf>
    <xf numFmtId="0" fontId="12" fillId="14" borderId="42" xfId="0" applyFont="1" applyFill="1" applyBorder="1" applyAlignment="1">
      <alignment horizontal="left"/>
    </xf>
    <xf numFmtId="0" fontId="2" fillId="0" borderId="37" xfId="0" applyNumberFormat="1" applyFont="1" applyBorder="1" applyAlignment="1" applyProtection="1">
      <alignment horizontal="left" vertical="top" wrapText="1" readingOrder="1"/>
      <protection locked="0"/>
    </xf>
    <xf numFmtId="0" fontId="2" fillId="0" borderId="51" xfId="0" applyNumberFormat="1" applyFont="1" applyBorder="1" applyAlignment="1" applyProtection="1">
      <alignment horizontal="left" vertical="top" wrapText="1" readingOrder="1"/>
      <protection locked="0"/>
    </xf>
    <xf numFmtId="49" fontId="2" fillId="0" borderId="11" xfId="0" applyNumberFormat="1" applyFont="1" applyFill="1" applyBorder="1" applyAlignment="1" applyProtection="1">
      <alignment horizontal="center"/>
      <protection locked="0"/>
    </xf>
    <xf numFmtId="0" fontId="0" fillId="0" borderId="11" xfId="0" applyBorder="1" applyProtection="1">
      <protection locked="0"/>
    </xf>
    <xf numFmtId="0" fontId="0" fillId="0" borderId="33" xfId="0" applyBorder="1" applyProtection="1">
      <protection locked="0"/>
    </xf>
    <xf numFmtId="49" fontId="2" fillId="0" borderId="37" xfId="0" applyNumberFormat="1" applyFont="1" applyFill="1" applyBorder="1" applyAlignment="1" applyProtection="1">
      <alignment horizontal="center"/>
      <protection locked="0"/>
    </xf>
    <xf numFmtId="49" fontId="2" fillId="0" borderId="51" xfId="0" applyNumberFormat="1" applyFont="1" applyFill="1" applyBorder="1" applyAlignment="1" applyProtection="1">
      <alignment horizontal="center"/>
      <protection locked="0"/>
    </xf>
    <xf numFmtId="0" fontId="2" fillId="0" borderId="61" xfId="0" applyFont="1" applyBorder="1" applyAlignment="1" applyProtection="1">
      <alignment horizontal="left" vertical="top"/>
      <protection locked="0"/>
    </xf>
    <xf numFmtId="0" fontId="2" fillId="0" borderId="25"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0" borderId="41"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8" borderId="13" xfId="0" applyFont="1" applyFill="1" applyBorder="1" applyAlignment="1" applyProtection="1">
      <alignment horizontal="left"/>
      <protection locked="0"/>
    </xf>
    <xf numFmtId="0" fontId="2" fillId="8" borderId="5" xfId="0" applyFont="1" applyFill="1" applyBorder="1" applyAlignment="1" applyProtection="1">
      <alignment horizontal="left"/>
      <protection locked="0"/>
    </xf>
    <xf numFmtId="0" fontId="2" fillId="8" borderId="10" xfId="0" applyFont="1" applyFill="1" applyBorder="1" applyAlignment="1" applyProtection="1">
      <alignment horizontal="left"/>
      <protection locked="0"/>
    </xf>
    <xf numFmtId="0" fontId="2" fillId="0" borderId="61" xfId="0" applyFont="1" applyBorder="1" applyAlignment="1" applyProtection="1">
      <alignment horizontal="left" vertical="top" wrapText="1" shrinkToFit="1"/>
      <protection locked="0"/>
    </xf>
    <xf numFmtId="0" fontId="2" fillId="0" borderId="25" xfId="0" applyFont="1" applyBorder="1" applyAlignment="1" applyProtection="1">
      <alignment horizontal="left" vertical="top" wrapText="1" shrinkToFit="1"/>
      <protection locked="0"/>
    </xf>
    <xf numFmtId="0" fontId="2" fillId="0" borderId="59" xfId="0" applyFont="1" applyBorder="1" applyAlignment="1" applyProtection="1">
      <alignment horizontal="left" vertical="top" wrapText="1" shrinkToFit="1"/>
      <protection locked="0"/>
    </xf>
    <xf numFmtId="0" fontId="2" fillId="0" borderId="0" xfId="0" applyFont="1" applyBorder="1" applyAlignment="1" applyProtection="1">
      <alignment horizontal="left" vertical="top" wrapText="1" shrinkToFit="1"/>
      <protection locked="0"/>
    </xf>
    <xf numFmtId="0" fontId="2" fillId="0" borderId="36" xfId="0" applyFont="1" applyBorder="1" applyAlignment="1" applyProtection="1">
      <alignment horizontal="left" vertical="top" wrapText="1" shrinkToFit="1"/>
      <protection locked="0"/>
    </xf>
    <xf numFmtId="0" fontId="2" fillId="0" borderId="2" xfId="0" applyFont="1" applyBorder="1" applyAlignment="1" applyProtection="1">
      <alignment horizontal="left" vertical="top" wrapText="1" shrinkToFit="1"/>
      <protection locked="0"/>
    </xf>
    <xf numFmtId="0" fontId="2" fillId="0" borderId="42" xfId="0" applyFont="1" applyBorder="1" applyAlignment="1" applyProtection="1">
      <alignment horizontal="left" vertical="top" wrapText="1" shrinkToFit="1"/>
      <protection locked="0"/>
    </xf>
    <xf numFmtId="0" fontId="2" fillId="0" borderId="16" xfId="0" applyFont="1" applyFill="1" applyBorder="1" applyAlignment="1" applyProtection="1">
      <alignment horizontal="center"/>
      <protection locked="0"/>
    </xf>
    <xf numFmtId="0" fontId="2" fillId="0" borderId="46" xfId="0" applyFont="1" applyFill="1" applyBorder="1" applyAlignment="1" applyProtection="1">
      <alignment horizontal="center"/>
      <protection locked="0"/>
    </xf>
    <xf numFmtId="0" fontId="2" fillId="8" borderId="14" xfId="0" applyFont="1" applyFill="1" applyBorder="1" applyAlignment="1" applyProtection="1">
      <alignment horizontal="left" vertical="center" wrapText="1"/>
      <protection locked="0"/>
    </xf>
    <xf numFmtId="0" fontId="2" fillId="8" borderId="30" xfId="0" applyFont="1" applyFill="1" applyBorder="1" applyAlignment="1" applyProtection="1">
      <alignment horizontal="left" vertical="center" wrapText="1"/>
      <protection locked="0"/>
    </xf>
    <xf numFmtId="49" fontId="2" fillId="15" borderId="62" xfId="0" applyNumberFormat="1" applyFont="1" applyFill="1" applyBorder="1" applyAlignment="1" applyProtection="1">
      <alignment horizontal="left" vertical="center" wrapText="1"/>
      <protection locked="0"/>
    </xf>
    <xf numFmtId="49" fontId="2" fillId="15" borderId="15" xfId="0" applyNumberFormat="1" applyFont="1" applyFill="1" applyBorder="1" applyAlignment="1" applyProtection="1">
      <alignment horizontal="left" vertical="center" wrapText="1"/>
      <protection locked="0"/>
    </xf>
    <xf numFmtId="49" fontId="2" fillId="15" borderId="63" xfId="0" applyNumberFormat="1" applyFont="1" applyFill="1" applyBorder="1" applyAlignment="1" applyProtection="1">
      <alignment horizontal="left" vertical="center" wrapText="1"/>
      <protection locked="0"/>
    </xf>
    <xf numFmtId="49" fontId="2" fillId="15" borderId="41" xfId="0" applyNumberFormat="1" applyFont="1" applyFill="1" applyBorder="1" applyAlignment="1" applyProtection="1">
      <alignment horizontal="left" vertical="center" wrapText="1"/>
      <protection locked="0"/>
    </xf>
    <xf numFmtId="49" fontId="2" fillId="15" borderId="2" xfId="0" applyNumberFormat="1" applyFont="1" applyFill="1" applyBorder="1" applyAlignment="1" applyProtection="1">
      <alignment horizontal="left" vertical="center" wrapText="1"/>
      <protection locked="0"/>
    </xf>
    <xf numFmtId="49" fontId="2" fillId="15" borderId="42" xfId="0" applyNumberFormat="1" applyFont="1" applyFill="1" applyBorder="1" applyAlignment="1" applyProtection="1">
      <alignment horizontal="left" vertical="center" wrapText="1"/>
      <protection locked="0"/>
    </xf>
    <xf numFmtId="49" fontId="2" fillId="15" borderId="14" xfId="0" applyNumberFormat="1" applyFont="1" applyFill="1" applyBorder="1" applyAlignment="1" applyProtection="1">
      <alignment horizontal="left" vertical="center" wrapText="1"/>
      <protection locked="0"/>
    </xf>
    <xf numFmtId="49" fontId="2" fillId="15" borderId="46" xfId="0" applyNumberFormat="1" applyFont="1" applyFill="1" applyBorder="1" applyAlignment="1" applyProtection="1">
      <alignment horizontal="left" vertical="center" wrapText="1"/>
      <protection locked="0"/>
    </xf>
    <xf numFmtId="49" fontId="2" fillId="15" borderId="22" xfId="0" applyNumberFormat="1" applyFont="1" applyFill="1" applyBorder="1" applyAlignment="1" applyProtection="1">
      <alignment horizontal="left" vertical="center" wrapText="1"/>
      <protection locked="0"/>
    </xf>
    <xf numFmtId="49" fontId="2" fillId="15" borderId="45" xfId="0" applyNumberFormat="1" applyFont="1" applyFill="1" applyBorder="1" applyAlignment="1" applyProtection="1">
      <alignment horizontal="left" vertical="center" wrapText="1"/>
      <protection locked="0"/>
    </xf>
    <xf numFmtId="0" fontId="33" fillId="0" borderId="40" xfId="0" applyFont="1" applyBorder="1" applyAlignment="1" applyProtection="1">
      <alignment vertical="top" wrapText="1"/>
      <protection locked="0"/>
    </xf>
    <xf numFmtId="0" fontId="33" fillId="0" borderId="1" xfId="0" applyFont="1" applyBorder="1" applyAlignment="1" applyProtection="1">
      <alignment vertical="top" wrapText="1"/>
      <protection locked="0"/>
    </xf>
    <xf numFmtId="0" fontId="33" fillId="0" borderId="39" xfId="0" applyFont="1" applyBorder="1" applyAlignment="1" applyProtection="1">
      <alignment vertical="top" wrapText="1"/>
      <protection locked="0"/>
    </xf>
    <xf numFmtId="0" fontId="33" fillId="0" borderId="0" xfId="0" applyFont="1" applyBorder="1" applyAlignment="1" applyProtection="1">
      <alignment vertical="top" wrapText="1"/>
      <protection locked="0"/>
    </xf>
    <xf numFmtId="0" fontId="33" fillId="0" borderId="41" xfId="0" applyFont="1" applyBorder="1" applyAlignment="1" applyProtection="1">
      <alignment vertical="top" wrapText="1"/>
      <protection locked="0"/>
    </xf>
    <xf numFmtId="0" fontId="33" fillId="0" borderId="2" xfId="0" applyFont="1" applyBorder="1" applyAlignment="1" applyProtection="1">
      <alignment vertical="top" wrapText="1"/>
      <protection locked="0"/>
    </xf>
    <xf numFmtId="0" fontId="2" fillId="0" borderId="53" xfId="0" applyNumberFormat="1" applyFont="1" applyFill="1" applyBorder="1" applyAlignment="1" applyProtection="1">
      <alignment vertical="top" wrapText="1" readingOrder="1"/>
      <protection locked="0"/>
    </xf>
    <xf numFmtId="0" fontId="0" fillId="0" borderId="53" xfId="0" applyBorder="1" applyAlignment="1" applyProtection="1">
      <alignment vertical="top" wrapText="1" readingOrder="1"/>
      <protection locked="0"/>
    </xf>
    <xf numFmtId="0" fontId="0" fillId="0" borderId="8" xfId="0" applyBorder="1" applyAlignment="1" applyProtection="1">
      <alignment vertical="top" wrapText="1" readingOrder="1"/>
      <protection locked="0"/>
    </xf>
    <xf numFmtId="0" fontId="5" fillId="8" borderId="3" xfId="0" applyFont="1" applyFill="1" applyBorder="1" applyAlignment="1" applyProtection="1">
      <alignment horizontal="center"/>
      <protection locked="0"/>
    </xf>
    <xf numFmtId="0" fontId="5" fillId="8" borderId="4" xfId="0" applyFont="1" applyFill="1" applyBorder="1" applyAlignment="1" applyProtection="1">
      <alignment horizontal="center"/>
      <protection locked="0"/>
    </xf>
    <xf numFmtId="0" fontId="5" fillId="0" borderId="19"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2" fillId="8" borderId="30" xfId="0" applyFont="1" applyFill="1" applyBorder="1" applyAlignment="1" applyProtection="1">
      <alignment horizontal="center" vertical="center"/>
      <protection locked="0"/>
    </xf>
    <xf numFmtId="0" fontId="2" fillId="8" borderId="31" xfId="0"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5" fillId="0" borderId="17"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47" fillId="17" borderId="40" xfId="0" applyFont="1" applyFill="1" applyBorder="1" applyAlignment="1" applyProtection="1">
      <alignment horizontal="center" vertical="top" wrapText="1"/>
      <protection locked="0"/>
    </xf>
    <xf numFmtId="0" fontId="47" fillId="17" borderId="38" xfId="0" applyFont="1" applyFill="1" applyBorder="1" applyAlignment="1" applyProtection="1">
      <alignment horizontal="center" vertical="top" wrapText="1"/>
      <protection locked="0"/>
    </xf>
    <xf numFmtId="0" fontId="5" fillId="8" borderId="6" xfId="0" applyFont="1" applyFill="1" applyBorder="1" applyAlignment="1" applyProtection="1">
      <alignment horizontal="center"/>
      <protection locked="0"/>
    </xf>
    <xf numFmtId="0" fontId="5" fillId="8" borderId="7" xfId="0" applyFont="1" applyFill="1" applyBorder="1" applyAlignment="1" applyProtection="1">
      <alignment horizontal="center"/>
      <protection locked="0"/>
    </xf>
    <xf numFmtId="0" fontId="5" fillId="8" borderId="34" xfId="0" applyFont="1" applyFill="1" applyBorder="1" applyAlignment="1" applyProtection="1">
      <alignment horizontal="center"/>
      <protection locked="0"/>
    </xf>
    <xf numFmtId="0" fontId="1" fillId="0" borderId="1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1" fillId="0" borderId="64"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63" xfId="0" applyFont="1" applyBorder="1" applyAlignment="1" applyProtection="1">
      <alignment horizontal="center" vertical="center" wrapText="1"/>
      <protection locked="0"/>
    </xf>
    <xf numFmtId="0" fontId="2" fillId="0" borderId="47" xfId="0" applyNumberFormat="1" applyFont="1" applyBorder="1" applyAlignment="1" applyProtection="1">
      <alignment horizontal="left" vertical="top" wrapText="1" readingOrder="1"/>
      <protection locked="0"/>
    </xf>
    <xf numFmtId="0" fontId="2" fillId="0" borderId="32" xfId="0" applyNumberFormat="1" applyFont="1" applyBorder="1" applyAlignment="1" applyProtection="1">
      <alignment horizontal="left" vertical="top" wrapText="1" readingOrder="1"/>
      <protection locked="0"/>
    </xf>
    <xf numFmtId="0" fontId="2" fillId="0" borderId="45" xfId="0" applyNumberFormat="1" applyFont="1" applyBorder="1" applyAlignment="1" applyProtection="1">
      <alignment horizontal="left" vertical="top" wrapText="1" readingOrder="1"/>
      <protection locked="0"/>
    </xf>
    <xf numFmtId="0" fontId="33" fillId="8" borderId="13" xfId="0" applyFont="1" applyFill="1" applyBorder="1" applyAlignment="1" applyProtection="1">
      <alignment horizontal="left" vertical="center" wrapText="1"/>
      <protection locked="0"/>
    </xf>
    <xf numFmtId="0" fontId="33" fillId="8" borderId="5" xfId="0" applyFont="1" applyFill="1" applyBorder="1" applyAlignment="1" applyProtection="1">
      <alignment horizontal="left" vertical="center" wrapText="1"/>
      <protection locked="0"/>
    </xf>
    <xf numFmtId="0" fontId="2" fillId="0" borderId="5" xfId="0" applyNumberFormat="1" applyFont="1" applyBorder="1" applyAlignment="1" applyProtection="1">
      <alignment horizontal="left" vertical="top" wrapText="1" readingOrder="1"/>
      <protection locked="0"/>
    </xf>
    <xf numFmtId="0" fontId="2" fillId="0" borderId="10" xfId="0" applyNumberFormat="1" applyFont="1" applyBorder="1" applyAlignment="1" applyProtection="1">
      <alignment horizontal="left" vertical="top" wrapText="1" readingOrder="1"/>
      <protection locked="0"/>
    </xf>
    <xf numFmtId="0" fontId="2" fillId="0" borderId="31" xfId="0" applyNumberFormat="1" applyFont="1" applyBorder="1" applyAlignment="1" applyProtection="1">
      <alignment horizontal="left" vertical="top" readingOrder="1"/>
      <protection locked="0"/>
    </xf>
    <xf numFmtId="0" fontId="2" fillId="0" borderId="16" xfId="0" applyNumberFormat="1" applyFont="1" applyBorder="1" applyAlignment="1" applyProtection="1">
      <alignment horizontal="left" vertical="top" readingOrder="1"/>
      <protection locked="0"/>
    </xf>
    <xf numFmtId="0" fontId="2" fillId="0" borderId="46" xfId="0" applyNumberFormat="1" applyFont="1" applyBorder="1" applyAlignment="1" applyProtection="1">
      <alignment horizontal="left" vertical="top" readingOrder="1"/>
      <protection locked="0"/>
    </xf>
    <xf numFmtId="0" fontId="11" fillId="8" borderId="40" xfId="0" applyFont="1" applyFill="1" applyBorder="1" applyAlignment="1" applyProtection="1">
      <alignment horizontal="left" vertical="top" wrapText="1"/>
      <protection locked="0"/>
    </xf>
    <xf numFmtId="0" fontId="11" fillId="8" borderId="1" xfId="0" applyFont="1" applyFill="1" applyBorder="1" applyAlignment="1" applyProtection="1">
      <alignment horizontal="left" vertical="top" wrapText="1"/>
      <protection locked="0"/>
    </xf>
    <xf numFmtId="0" fontId="11" fillId="8" borderId="38" xfId="0" applyFont="1" applyFill="1" applyBorder="1" applyAlignment="1" applyProtection="1">
      <alignment horizontal="left" vertical="top" wrapText="1"/>
      <protection locked="0"/>
    </xf>
    <xf numFmtId="0" fontId="11" fillId="8" borderId="39" xfId="0" applyFont="1" applyFill="1" applyBorder="1" applyAlignment="1" applyProtection="1">
      <alignment horizontal="left" vertical="top" wrapText="1"/>
      <protection locked="0"/>
    </xf>
    <xf numFmtId="0" fontId="11" fillId="8" borderId="0" xfId="0" applyFont="1" applyFill="1" applyBorder="1" applyAlignment="1" applyProtection="1">
      <alignment horizontal="left" vertical="top" wrapText="1"/>
      <protection locked="0"/>
    </xf>
    <xf numFmtId="0" fontId="11" fillId="8" borderId="36" xfId="0" applyFont="1" applyFill="1" applyBorder="1" applyAlignment="1" applyProtection="1">
      <alignment horizontal="left" vertical="top" wrapText="1"/>
      <protection locked="0"/>
    </xf>
    <xf numFmtId="0" fontId="11" fillId="8" borderId="41" xfId="0" applyFont="1" applyFill="1" applyBorder="1" applyAlignment="1" applyProtection="1">
      <alignment horizontal="left" vertical="top" wrapText="1"/>
      <protection locked="0"/>
    </xf>
    <xf numFmtId="0" fontId="11" fillId="8" borderId="2" xfId="0" applyFont="1" applyFill="1" applyBorder="1" applyAlignment="1" applyProtection="1">
      <alignment horizontal="left" vertical="top" wrapText="1"/>
      <protection locked="0"/>
    </xf>
    <xf numFmtId="0" fontId="11" fillId="8" borderId="42" xfId="0" applyFont="1" applyFill="1" applyBorder="1" applyAlignment="1" applyProtection="1">
      <alignment horizontal="left" vertical="top" wrapText="1"/>
      <protection locked="0"/>
    </xf>
    <xf numFmtId="164" fontId="2" fillId="0" borderId="47" xfId="0" applyNumberFormat="1" applyFont="1" applyFill="1" applyBorder="1" applyAlignment="1" applyProtection="1">
      <alignment horizontal="center" wrapText="1"/>
      <protection locked="0"/>
    </xf>
    <xf numFmtId="0" fontId="0" fillId="0" borderId="45" xfId="0" applyBorder="1" applyAlignment="1" applyProtection="1">
      <alignment horizontal="center" wrapText="1"/>
      <protection locked="0"/>
    </xf>
    <xf numFmtId="0" fontId="2" fillId="8" borderId="29" xfId="0" applyFont="1" applyFill="1" applyBorder="1" applyAlignment="1" applyProtection="1">
      <alignment horizontal="center" vertical="center"/>
      <protection locked="0"/>
    </xf>
    <xf numFmtId="0" fontId="2" fillId="8" borderId="3"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8" borderId="19" xfId="0" applyFont="1" applyFill="1" applyBorder="1" applyAlignment="1" applyProtection="1">
      <alignment horizontal="left" vertical="center"/>
      <protection locked="0"/>
    </xf>
    <xf numFmtId="0" fontId="2" fillId="8" borderId="44" xfId="0" applyFont="1" applyFill="1" applyBorder="1" applyAlignment="1" applyProtection="1">
      <alignment horizontal="left" vertical="center"/>
      <protection locked="0"/>
    </xf>
    <xf numFmtId="0" fontId="2" fillId="8" borderId="54" xfId="0" applyFont="1" applyFill="1" applyBorder="1" applyAlignment="1" applyProtection="1">
      <alignment horizontal="left" vertical="center"/>
      <protection locked="0"/>
    </xf>
    <xf numFmtId="0" fontId="2" fillId="8" borderId="14" xfId="0" applyFont="1" applyFill="1" applyBorder="1" applyAlignment="1" applyProtection="1">
      <alignment horizontal="left" vertical="center"/>
      <protection locked="0"/>
    </xf>
    <xf numFmtId="0" fontId="3" fillId="8" borderId="16" xfId="0" applyFont="1" applyFill="1" applyBorder="1" applyAlignment="1" applyProtection="1">
      <alignment horizontal="left" vertical="center"/>
      <protection locked="0"/>
    </xf>
    <xf numFmtId="0" fontId="3" fillId="8" borderId="30" xfId="0" applyFont="1" applyFill="1" applyBorder="1" applyAlignment="1" applyProtection="1">
      <alignment horizontal="left" vertical="center"/>
      <protection locked="0"/>
    </xf>
    <xf numFmtId="0" fontId="2" fillId="8" borderId="22" xfId="0" applyFont="1" applyFill="1" applyBorder="1" applyAlignment="1" applyProtection="1">
      <alignment horizontal="left" vertical="center"/>
      <protection locked="0"/>
    </xf>
    <xf numFmtId="0" fontId="3" fillId="8" borderId="32" xfId="0" applyFont="1" applyFill="1" applyBorder="1" applyAlignment="1" applyProtection="1">
      <alignment horizontal="left" vertical="center"/>
      <protection locked="0"/>
    </xf>
    <xf numFmtId="0" fontId="3" fillId="8" borderId="55" xfId="0" applyFont="1" applyFill="1" applyBorder="1" applyAlignment="1" applyProtection="1">
      <alignment horizontal="left" vertical="center"/>
      <protection locked="0"/>
    </xf>
    <xf numFmtId="164" fontId="2" fillId="0" borderId="31" xfId="0" applyNumberFormat="1" applyFont="1" applyFill="1" applyBorder="1" applyAlignment="1" applyProtection="1">
      <alignment horizontal="center" wrapText="1"/>
      <protection locked="0"/>
    </xf>
    <xf numFmtId="0" fontId="0" fillId="0" borderId="46" xfId="0" applyBorder="1" applyAlignment="1" applyProtection="1">
      <alignment horizontal="center" wrapText="1"/>
      <protection locked="0"/>
    </xf>
    <xf numFmtId="0" fontId="29" fillId="4" borderId="0" xfId="0" applyFont="1" applyFill="1" applyAlignment="1" applyProtection="1">
      <alignment horizontal="center" vertical="center"/>
      <protection locked="0"/>
    </xf>
    <xf numFmtId="0" fontId="29" fillId="4" borderId="36" xfId="0" applyFont="1" applyFill="1" applyBorder="1" applyAlignment="1" applyProtection="1">
      <alignment horizontal="center" vertical="center"/>
      <protection locked="0"/>
    </xf>
    <xf numFmtId="0" fontId="2" fillId="8" borderId="31" xfId="0" applyFont="1" applyFill="1" applyBorder="1" applyAlignment="1" applyProtection="1">
      <alignment horizontal="center" vertical="top"/>
      <protection locked="0"/>
    </xf>
    <xf numFmtId="0" fontId="2" fillId="8" borderId="30" xfId="0" applyFont="1" applyFill="1" applyBorder="1" applyAlignment="1" applyProtection="1">
      <alignment horizontal="center" vertical="top"/>
      <protection locked="0"/>
    </xf>
    <xf numFmtId="14" fontId="2" fillId="0" borderId="53" xfId="0" applyNumberFormat="1" applyFont="1" applyFill="1" applyBorder="1" applyAlignment="1" applyProtection="1">
      <alignment horizontal="center"/>
      <protection locked="0"/>
    </xf>
    <xf numFmtId="14" fontId="2" fillId="0" borderId="8" xfId="0" applyNumberFormat="1" applyFont="1" applyFill="1" applyBorder="1" applyAlignment="1" applyProtection="1">
      <alignment horizontal="center"/>
      <protection locked="0"/>
    </xf>
    <xf numFmtId="14" fontId="2" fillId="0" borderId="5" xfId="0" applyNumberFormat="1" applyFont="1" applyFill="1" applyBorder="1" applyAlignment="1" applyProtection="1">
      <alignment horizontal="center"/>
      <protection locked="0"/>
    </xf>
    <xf numFmtId="14" fontId="2" fillId="0" borderId="10" xfId="0" applyNumberFormat="1" applyFont="1" applyFill="1" applyBorder="1" applyAlignment="1" applyProtection="1">
      <alignment horizontal="center"/>
      <protection locked="0"/>
    </xf>
    <xf numFmtId="14" fontId="2" fillId="0" borderId="52" xfId="0" applyNumberFormat="1" applyFont="1" applyFill="1" applyBorder="1" applyAlignment="1" applyProtection="1">
      <alignment horizontal="center"/>
      <protection locked="0"/>
    </xf>
    <xf numFmtId="14" fontId="2" fillId="0" borderId="9" xfId="0" applyNumberFormat="1" applyFont="1" applyFill="1" applyBorder="1" applyAlignment="1" applyProtection="1">
      <alignment horizontal="center"/>
      <protection locked="0"/>
    </xf>
    <xf numFmtId="0" fontId="2" fillId="0" borderId="53" xfId="0" applyNumberFormat="1" applyFont="1" applyFill="1" applyBorder="1" applyAlignment="1" applyProtection="1">
      <alignment horizontal="center"/>
      <protection locked="0"/>
    </xf>
    <xf numFmtId="0" fontId="0" fillId="0" borderId="8" xfId="0" applyBorder="1" applyAlignment="1" applyProtection="1">
      <alignment horizontal="center"/>
      <protection locked="0"/>
    </xf>
    <xf numFmtId="0" fontId="2" fillId="8" borderId="16" xfId="0" applyFont="1" applyFill="1" applyBorder="1" applyAlignment="1" applyProtection="1">
      <alignment horizontal="left" vertical="center"/>
      <protection locked="0"/>
    </xf>
    <xf numFmtId="0" fontId="2" fillId="8" borderId="32" xfId="0" applyFont="1" applyFill="1" applyBorder="1" applyAlignment="1" applyProtection="1">
      <alignment horizontal="left" vertical="center"/>
      <protection locked="0"/>
    </xf>
    <xf numFmtId="0" fontId="2" fillId="0" borderId="37" xfId="0" applyFont="1" applyBorder="1" applyAlignment="1" applyProtection="1">
      <alignment horizontal="center" vertical="center"/>
      <protection locked="0"/>
    </xf>
    <xf numFmtId="0" fontId="0" fillId="0" borderId="37" xfId="0" applyBorder="1" applyAlignment="1" applyProtection="1">
      <alignment vertical="center"/>
      <protection locked="0"/>
    </xf>
    <xf numFmtId="0" fontId="2" fillId="0" borderId="37" xfId="0" applyFont="1" applyBorder="1" applyAlignment="1" applyProtection="1">
      <alignment horizontal="left" vertical="center"/>
      <protection locked="0"/>
    </xf>
    <xf numFmtId="49" fontId="2" fillId="15" borderId="61" xfId="0" applyNumberFormat="1" applyFont="1" applyFill="1" applyBorder="1" applyAlignment="1" applyProtection="1">
      <alignment horizontal="left" vertical="center" wrapText="1"/>
      <protection locked="0"/>
    </xf>
    <xf numFmtId="49" fontId="2" fillId="15" borderId="59" xfId="0" applyNumberFormat="1" applyFont="1" applyFill="1" applyBorder="1" applyAlignment="1" applyProtection="1">
      <alignment horizontal="left" vertical="center" wrapText="1"/>
      <protection locked="0"/>
    </xf>
    <xf numFmtId="0" fontId="3" fillId="8" borderId="5" xfId="0" applyFont="1" applyFill="1" applyBorder="1" applyAlignment="1" applyProtection="1">
      <alignment horizontal="center" vertical="top"/>
      <protection locked="0"/>
    </xf>
    <xf numFmtId="0" fontId="3" fillId="8" borderId="31" xfId="0" applyFont="1" applyFill="1" applyBorder="1" applyAlignment="1" applyProtection="1">
      <alignment horizontal="center" vertical="top"/>
      <protection locked="0"/>
    </xf>
    <xf numFmtId="49" fontId="2" fillId="0" borderId="31" xfId="0" applyNumberFormat="1" applyFont="1" applyFill="1" applyBorder="1" applyAlignment="1" applyProtection="1">
      <alignment horizontal="center"/>
      <protection locked="0"/>
    </xf>
    <xf numFmtId="0" fontId="0" fillId="0" borderId="16" xfId="0" applyFill="1" applyBorder="1" applyAlignment="1" applyProtection="1">
      <alignment horizontal="center"/>
      <protection locked="0"/>
    </xf>
    <xf numFmtId="49" fontId="2" fillId="0" borderId="5" xfId="0" applyNumberFormat="1" applyFont="1" applyFill="1" applyBorder="1" applyAlignment="1" applyProtection="1">
      <alignment horizontal="center" vertical="center" shrinkToFit="1"/>
      <protection locked="0"/>
    </xf>
    <xf numFmtId="49" fontId="2" fillId="15" borderId="25" xfId="0" applyNumberFormat="1" applyFont="1" applyFill="1" applyBorder="1" applyAlignment="1" applyProtection="1">
      <alignment horizontal="left" vertical="center" wrapText="1"/>
      <protection locked="0"/>
    </xf>
    <xf numFmtId="49" fontId="2" fillId="0" borderId="7" xfId="0" applyNumberFormat="1" applyFont="1" applyFill="1"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49" fontId="2" fillId="15" borderId="40" xfId="0" applyNumberFormat="1" applyFont="1" applyFill="1" applyBorder="1" applyAlignment="1" applyProtection="1">
      <alignment horizontal="left" vertical="center" wrapText="1"/>
      <protection locked="0"/>
    </xf>
    <xf numFmtId="49" fontId="2" fillId="15" borderId="1" xfId="0" applyNumberFormat="1" applyFont="1" applyFill="1" applyBorder="1" applyAlignment="1" applyProtection="1">
      <alignment horizontal="left" vertical="center" wrapText="1"/>
      <protection locked="0"/>
    </xf>
    <xf numFmtId="49" fontId="2" fillId="15" borderId="38" xfId="0" applyNumberFormat="1" applyFont="1" applyFill="1" applyBorder="1" applyAlignment="1" applyProtection="1">
      <alignment horizontal="left" vertical="center" wrapText="1"/>
      <protection locked="0"/>
    </xf>
    <xf numFmtId="0" fontId="4" fillId="0" borderId="0" xfId="0" applyFont="1" applyAlignment="1">
      <alignment horizontal="left" vertical="justify"/>
    </xf>
    <xf numFmtId="0" fontId="6" fillId="0" borderId="2" xfId="0" applyFont="1" applyBorder="1" applyAlignment="1">
      <alignment horizontal="left" vertical="center" wrapText="1"/>
    </xf>
    <xf numFmtId="0" fontId="2" fillId="2" borderId="40" xfId="0" applyNumberFormat="1" applyFont="1" applyFill="1" applyBorder="1" applyAlignment="1">
      <alignment horizontal="left" vertical="top" wrapText="1"/>
    </xf>
    <xf numFmtId="0" fontId="2" fillId="2" borderId="1" xfId="0" applyNumberFormat="1" applyFont="1" applyFill="1" applyBorder="1" applyAlignment="1">
      <alignment horizontal="left" vertical="top" wrapText="1"/>
    </xf>
    <xf numFmtId="0" fontId="2" fillId="2" borderId="38" xfId="0" applyNumberFormat="1" applyFont="1" applyFill="1" applyBorder="1" applyAlignment="1">
      <alignment horizontal="left" vertical="top" wrapText="1"/>
    </xf>
    <xf numFmtId="0" fontId="2" fillId="2" borderId="39" xfId="0" applyNumberFormat="1" applyFont="1" applyFill="1" applyBorder="1" applyAlignment="1">
      <alignment horizontal="left" vertical="top" wrapText="1"/>
    </xf>
    <xf numFmtId="0" fontId="2" fillId="2" borderId="0" xfId="0" applyNumberFormat="1" applyFont="1" applyFill="1" applyBorder="1" applyAlignment="1">
      <alignment horizontal="left" vertical="top" wrapText="1"/>
    </xf>
    <xf numFmtId="0" fontId="2" fillId="2" borderId="36" xfId="0" applyNumberFormat="1" applyFont="1" applyFill="1" applyBorder="1" applyAlignment="1">
      <alignment horizontal="left" vertical="top" wrapText="1"/>
    </xf>
    <xf numFmtId="0" fontId="2" fillId="2" borderId="41"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2" fillId="2" borderId="42" xfId="0" applyNumberFormat="1" applyFont="1" applyFill="1" applyBorder="1" applyAlignment="1">
      <alignment horizontal="left" vertical="top" wrapText="1"/>
    </xf>
    <xf numFmtId="0" fontId="10" fillId="2" borderId="5" xfId="0" applyFont="1" applyFill="1" applyBorder="1" applyAlignment="1">
      <alignment horizontal="center"/>
    </xf>
    <xf numFmtId="0" fontId="2" fillId="0" borderId="0" xfId="0" applyFont="1" applyAlignment="1">
      <alignment horizontal="left" vertical="top" wrapText="1"/>
    </xf>
    <xf numFmtId="0" fontId="12" fillId="14" borderId="29" xfId="0" applyFont="1" applyFill="1" applyBorder="1" applyAlignment="1">
      <alignment horizontal="center" vertical="justify"/>
    </xf>
    <xf numFmtId="0" fontId="12" fillId="14" borderId="3" xfId="0" applyFont="1" applyFill="1" applyBorder="1" applyAlignment="1">
      <alignment horizontal="center" vertical="justify"/>
    </xf>
    <xf numFmtId="0" fontId="12" fillId="14" borderId="4" xfId="0" applyFont="1" applyFill="1" applyBorder="1" applyAlignment="1">
      <alignment horizontal="center" vertical="justify"/>
    </xf>
    <xf numFmtId="0" fontId="7" fillId="14" borderId="31" xfId="0" applyFont="1" applyFill="1" applyBorder="1" applyAlignment="1">
      <alignment horizontal="center" vertical="top"/>
    </xf>
    <xf numFmtId="0" fontId="7" fillId="14" borderId="16" xfId="0" applyFont="1" applyFill="1" applyBorder="1" applyAlignment="1">
      <alignment horizontal="center" vertical="top"/>
    </xf>
    <xf numFmtId="0" fontId="7" fillId="14" borderId="30" xfId="0" applyFont="1" applyFill="1" applyBorder="1" applyAlignment="1">
      <alignment horizontal="center" vertical="top"/>
    </xf>
    <xf numFmtId="0" fontId="5" fillId="2" borderId="5" xfId="0" applyFont="1" applyFill="1" applyBorder="1" applyAlignment="1">
      <alignment horizontal="center"/>
    </xf>
    <xf numFmtId="0" fontId="4" fillId="0" borderId="0" xfId="0" applyFont="1" applyBorder="1" applyAlignment="1">
      <alignment horizontal="center" vertical="justify"/>
    </xf>
    <xf numFmtId="0" fontId="5" fillId="14" borderId="11" xfId="0" applyFont="1" applyFill="1" applyBorder="1" applyAlignment="1">
      <alignment horizontal="center" vertical="top" wrapText="1"/>
    </xf>
    <xf numFmtId="0" fontId="2" fillId="14" borderId="31" xfId="0" applyNumberFormat="1" applyFont="1" applyFill="1" applyBorder="1" applyAlignment="1">
      <alignment horizontal="center" vertical="center"/>
    </xf>
    <xf numFmtId="0" fontId="2" fillId="14" borderId="16" xfId="0" applyNumberFormat="1" applyFont="1" applyFill="1" applyBorder="1" applyAlignment="1">
      <alignment horizontal="center" vertical="center"/>
    </xf>
    <xf numFmtId="0" fontId="2" fillId="14" borderId="30" xfId="0" applyNumberFormat="1" applyFont="1" applyFill="1" applyBorder="1" applyAlignment="1">
      <alignment horizontal="center" vertical="center"/>
    </xf>
    <xf numFmtId="0" fontId="7" fillId="14" borderId="5" xfId="0" applyFont="1" applyFill="1" applyBorder="1" applyAlignment="1">
      <alignment horizontal="center" vertical="top"/>
    </xf>
    <xf numFmtId="0" fontId="1" fillId="0" borderId="43" xfId="0" applyFont="1" applyBorder="1" applyAlignment="1">
      <alignment horizontal="left" vertical="top" wrapText="1"/>
    </xf>
    <xf numFmtId="0" fontId="1" fillId="0" borderId="15" xfId="0" applyFont="1" applyBorder="1" applyAlignment="1">
      <alignment horizontal="left" vertical="top" wrapText="1"/>
    </xf>
    <xf numFmtId="0" fontId="1" fillId="0" borderId="58" xfId="0" applyFont="1" applyBorder="1" applyAlignment="1">
      <alignment horizontal="left" vertical="top" wrapText="1"/>
    </xf>
    <xf numFmtId="0" fontId="1" fillId="0" borderId="0" xfId="0" applyFont="1" applyAlignment="1">
      <alignment wrapText="1"/>
    </xf>
    <xf numFmtId="0" fontId="0" fillId="0" borderId="0" xfId="0" applyAlignment="1"/>
    <xf numFmtId="0" fontId="1" fillId="0" borderId="29"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29"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 fillId="0" borderId="50" xfId="0" applyFont="1" applyBorder="1" applyAlignment="1">
      <alignment horizontal="center"/>
    </xf>
    <xf numFmtId="0" fontId="2" fillId="0" borderId="48" xfId="0" applyFont="1" applyBorder="1" applyAlignment="1">
      <alignment horizontal="center"/>
    </xf>
    <xf numFmtId="0" fontId="2" fillId="0" borderId="27" xfId="0" applyFont="1" applyBorder="1" applyAlignment="1">
      <alignment horizontal="center"/>
    </xf>
    <xf numFmtId="0" fontId="2" fillId="0" borderId="26" xfId="0" applyFont="1" applyBorder="1" applyAlignment="1">
      <alignment horizontal="center"/>
    </xf>
    <xf numFmtId="0" fontId="23" fillId="0" borderId="39" xfId="0" applyFont="1" applyBorder="1" applyAlignment="1">
      <alignment wrapText="1"/>
    </xf>
    <xf numFmtId="0" fontId="2" fillId="0" borderId="28" xfId="0" applyFont="1" applyBorder="1" applyAlignment="1">
      <alignment horizontal="center"/>
    </xf>
    <xf numFmtId="0" fontId="17" fillId="0" borderId="0" xfId="0" applyFont="1" applyAlignment="1">
      <alignment horizontal="left" wrapText="1"/>
    </xf>
    <xf numFmtId="49" fontId="49" fillId="19" borderId="5" xfId="3" applyNumberFormat="1" applyFont="1" applyFill="1" applyBorder="1" applyAlignment="1">
      <alignment horizontal="center" vertical="center"/>
    </xf>
  </cellXfs>
  <cellStyles count="4">
    <cellStyle name="Comma" xfId="1" builtinId="3"/>
    <cellStyle name="Normal" xfId="0" builtinId="0"/>
    <cellStyle name="Normal 2" xfId="3" xr:uid="{00000000-0005-0000-0000-00002F000000}"/>
    <cellStyle name="Percent" xfId="2" builtinId="5"/>
  </cellStyles>
  <dxfs count="5">
    <dxf>
      <fill>
        <patternFill>
          <bgColor theme="5" tint="0.39994506668294322"/>
        </patternFill>
      </fill>
    </dxf>
    <dxf>
      <fill>
        <patternFill>
          <bgColor rgb="FFFFC000"/>
        </patternFill>
      </fill>
    </dxf>
    <dxf>
      <fill>
        <patternFill>
          <bgColor rgb="FFFFC000"/>
        </patternFill>
      </fill>
    </dxf>
    <dxf>
      <font>
        <color theme="0" tint="-0.14996795556505021"/>
      </font>
      <fill>
        <patternFill>
          <bgColor theme="0" tint="-0.14996795556505021"/>
        </patternFill>
      </fill>
    </dxf>
    <dxf>
      <fill>
        <patternFill>
          <bgColor rgb="FFFF0000"/>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Drop" dropLines="20" dropStyle="combo" dx="16" fmlaLink="PortSeq" fmlaRange="'1-Import Product Data Sheet'!$T$3:$T$107" sel="29" val="17"/>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Lines="7" dropStyle="combo" dx="16" fmlaLink="RateSeq" fmlaRange="$AG$2:$AG$8" sel="1" val="0"/>
</file>

<file path=xl/ctrlProps/ctrlProp3.xml><?xml version="1.0" encoding="utf-8"?>
<formControlPr xmlns="http://schemas.microsoft.com/office/spreadsheetml/2009/9/main" objectType="CheckBox" fmlaLink="Pallet_Ship" lockText="1"/>
</file>

<file path=xl/ctrlProps/ctrlProp4.xml><?xml version="1.0" encoding="utf-8"?>
<formControlPr xmlns="http://schemas.microsoft.com/office/spreadsheetml/2009/9/main" objectType="Drop" dropLines="85" dropStyle="combo" dx="16" fmlaLink="Curr_Selected" fmlaRange="Currency" sel="2" val="0"/>
</file>

<file path=xl/ctrlProps/ctrlProp5.xml><?xml version="1.0" encoding="utf-8"?>
<formControlPr xmlns="http://schemas.microsoft.com/office/spreadsheetml/2009/9/main" objectType="Drop" dropLines="2" dropStyle="combo" dx="16" fmlaLink="$AJ$17" fmlaRange="$AG$12:$AG$13" sel="1" val="0"/>
</file>

<file path=xl/ctrlProps/ctrlProp6.xml><?xml version="1.0" encoding="utf-8"?>
<formControlPr xmlns="http://schemas.microsoft.com/office/spreadsheetml/2009/9/main" objectType="CheckBox" fmlaLink="Combo" lockText="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533401</xdr:colOff>
      <xdr:row>0</xdr:row>
      <xdr:rowOff>347303</xdr:rowOff>
    </xdr:to>
    <xdr:pic>
      <xdr:nvPicPr>
        <xdr:cNvPr id="1069" name="Picture 1" descr="BigLots_Logo[1]">
          <a:extLst>
            <a:ext uri="{FF2B5EF4-FFF2-40B4-BE49-F238E27FC236}">
              <a16:creationId xmlns:a16="http://schemas.microsoft.com/office/drawing/2014/main" id="{00000000-0008-0000-0100-00002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533400" cy="34730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47625</xdr:colOff>
          <xdr:row>2</xdr:row>
          <xdr:rowOff>9525</xdr:rowOff>
        </xdr:from>
        <xdr:to>
          <xdr:col>7</xdr:col>
          <xdr:colOff>0</xdr:colOff>
          <xdr:row>2</xdr:row>
          <xdr:rowOff>219075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xdr:row>
          <xdr:rowOff>9525</xdr:rowOff>
        </xdr:from>
        <xdr:to>
          <xdr:col>8</xdr:col>
          <xdr:colOff>561975</xdr:colOff>
          <xdr:row>2</xdr:row>
          <xdr:rowOff>219075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xdr:row>
          <xdr:rowOff>47625</xdr:rowOff>
        </xdr:from>
        <xdr:to>
          <xdr:col>14</xdr:col>
          <xdr:colOff>295275</xdr:colOff>
          <xdr:row>3</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solidFill>
              <a:srgbClr val="FFFFCC"/>
            </a:solidFill>
            <a:ln w="9525">
              <a:solidFill>
                <a:srgbClr val="000000"/>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Pallet Shipment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28575</xdr:rowOff>
        </xdr:from>
        <xdr:to>
          <xdr:col>4</xdr:col>
          <xdr:colOff>657225</xdr:colOff>
          <xdr:row>24</xdr:row>
          <xdr:rowOff>228600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xdr:row>
          <xdr:rowOff>0</xdr:rowOff>
        </xdr:from>
        <xdr:to>
          <xdr:col>9</xdr:col>
          <xdr:colOff>1038225</xdr:colOff>
          <xdr:row>2</xdr:row>
          <xdr:rowOff>219075</xdr:rowOff>
        </xdr:to>
        <xdr:sp macro="" textlink="">
          <xdr:nvSpPr>
            <xdr:cNvPr id="2" name="Drop Down 45" hidden="1">
              <a:extLst>
                <a:ext uri="{63B3BB69-23CF-44E3-9099-C40C66FF867C}">
                  <a14:compatExt spid="_x0000_s1069"/>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838200</xdr:colOff>
          <xdr:row>23</xdr:row>
          <xdr:rowOff>47625</xdr:rowOff>
        </xdr:from>
        <xdr:to>
          <xdr:col>1</xdr:col>
          <xdr:colOff>704850</xdr:colOff>
          <xdr:row>23</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solidFill>
              <a:srgbClr val="FFFFCC"/>
            </a:solidFill>
            <a:ln w="9525">
              <a:solidFill>
                <a:srgbClr val="000000"/>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Combo Article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xdr:row>
          <xdr:rowOff>9525</xdr:rowOff>
        </xdr:from>
        <xdr:to>
          <xdr:col>15</xdr:col>
          <xdr:colOff>9525</xdr:colOff>
          <xdr:row>18</xdr:row>
          <xdr:rowOff>152400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solidFill>
              <a:srgbClr val="FFFFCC"/>
            </a:solidFill>
            <a:ln w="9525">
              <a:solidFill>
                <a:srgbClr val="000000"/>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EAS Source Tagging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24</xdr:row>
          <xdr:rowOff>85725</xdr:rowOff>
        </xdr:from>
        <xdr:to>
          <xdr:col>1</xdr:col>
          <xdr:colOff>752475</xdr:colOff>
          <xdr:row>24</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solidFill>
              <a:srgbClr val="FFFFCC"/>
            </a:solidFill>
            <a:ln w="9525">
              <a:solidFill>
                <a:srgbClr val="000000"/>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US Anti-Dumping Duty is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21</xdr:row>
          <xdr:rowOff>295275</xdr:rowOff>
        </xdr:from>
        <xdr:to>
          <xdr:col>9</xdr:col>
          <xdr:colOff>1038225</xdr:colOff>
          <xdr:row>23</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provide label verbiage with chemical name in "other packaging notes".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23</xdr:row>
          <xdr:rowOff>38100</xdr:rowOff>
        </xdr:from>
        <xdr:to>
          <xdr:col>9</xdr:col>
          <xdr:colOff>1200150</xdr:colOff>
          <xdr:row>23</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Does not need Prop 65 warning label</a:t>
              </a:r>
            </a:p>
          </xdr:txBody>
        </xdr:sp>
        <xdr:clientData/>
      </xdr:twoCellAnchor>
    </mc:Choice>
    <mc:Fallback/>
  </mc:AlternateContent>
  <xdr:twoCellAnchor>
    <xdr:from>
      <xdr:col>7</xdr:col>
      <xdr:colOff>514349</xdr:colOff>
      <xdr:row>21</xdr:row>
      <xdr:rowOff>114301</xdr:rowOff>
    </xdr:from>
    <xdr:to>
      <xdr:col>9</xdr:col>
      <xdr:colOff>1190624</xdr:colOff>
      <xdr:row>21</xdr:row>
      <xdr:rowOff>295275</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943724" y="4352926"/>
          <a:ext cx="1971675"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u="none">
              <a:latin typeface="Arial" panose="020B0604020202020204" pitchFamily="34" charset="0"/>
              <a:cs typeface="Arial" panose="020B0604020202020204" pitchFamily="34" charset="0"/>
            </a:rPr>
            <a:t>Product will have</a:t>
          </a:r>
          <a:r>
            <a:rPr lang="en-US" sz="800" b="0" u="none" baseline="0">
              <a:latin typeface="Arial" panose="020B0604020202020204" pitchFamily="34" charset="0"/>
              <a:cs typeface="Arial" panose="020B0604020202020204" pitchFamily="34" charset="0"/>
            </a:rPr>
            <a:t> Prop 65 warning label:</a:t>
          </a:r>
          <a:endParaRPr lang="en-US" sz="800" b="0" u="none">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38</xdr:row>
      <xdr:rowOff>95250</xdr:rowOff>
    </xdr:from>
    <xdr:to>
      <xdr:col>0</xdr:col>
      <xdr:colOff>2447925</xdr:colOff>
      <xdr:row>60</xdr:row>
      <xdr:rowOff>85725</xdr:rowOff>
    </xdr:to>
    <xdr:pic>
      <xdr:nvPicPr>
        <xdr:cNvPr id="4" name="Picture 4">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6734175"/>
          <a:ext cx="2133600" cy="3552825"/>
        </a:xfrm>
        <a:prstGeom prst="rect">
          <a:avLst/>
        </a:prstGeom>
        <a:noFill/>
      </xdr:spPr>
    </xdr:pic>
    <xdr:clientData/>
  </xdr:twoCellAnchor>
  <xdr:twoCellAnchor>
    <xdr:from>
      <xdr:col>2</xdr:col>
      <xdr:colOff>266700</xdr:colOff>
      <xdr:row>44</xdr:row>
      <xdr:rowOff>114300</xdr:rowOff>
    </xdr:from>
    <xdr:to>
      <xdr:col>5</xdr:col>
      <xdr:colOff>190500</xdr:colOff>
      <xdr:row>52</xdr:row>
      <xdr:rowOff>19050</xdr:rowOff>
    </xdr:to>
    <xdr:pic>
      <xdr:nvPicPr>
        <xdr:cNvPr id="2053" name="Picture 5">
          <a:extLst>
            <a:ext uri="{FF2B5EF4-FFF2-40B4-BE49-F238E27FC236}">
              <a16:creationId xmlns:a16="http://schemas.microsoft.com/office/drawing/2014/main" id="{00000000-0008-0000-0600-000005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90925" y="7724775"/>
          <a:ext cx="5372100" cy="12001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6</xdr:col>
          <xdr:colOff>447675</xdr:colOff>
          <xdr:row>36</xdr:row>
          <xdr:rowOff>9525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15</xdr:row>
      <xdr:rowOff>133350</xdr:rowOff>
    </xdr:from>
    <xdr:to>
      <xdr:col>12</xdr:col>
      <xdr:colOff>561975</xdr:colOff>
      <xdr:row>42</xdr:row>
      <xdr:rowOff>142875</xdr:rowOff>
    </xdr:to>
    <xdr:pic>
      <xdr:nvPicPr>
        <xdr:cNvPr id="2049" name="Picture 1" descr="C:\Users\swenerst\Desktop\pdq.gif">
          <a:extLst>
            <a:ext uri="{FF2B5EF4-FFF2-40B4-BE49-F238E27FC236}">
              <a16:creationId xmlns:a16="http://schemas.microsoft.com/office/drawing/2014/main" id="{00000000-0008-0000-07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971800"/>
          <a:ext cx="7800975" cy="4381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ackage" Target="../embeddings/Microsoft_Word_Document.docx"/><Relationship Id="rId2" Type="http://schemas.openxmlformats.org/officeDocument/2006/relationships/vmlDrawing" Target="../drawings/vmlDrawing3.vml"/><Relationship Id="rId1" Type="http://schemas.openxmlformats.org/officeDocument/2006/relationships/drawing" Target="../drawings/drawing2.xml"/><Relationship Id="rId4" Type="http://schemas.openxmlformats.org/officeDocument/2006/relationships/image" Target="../media/image2.emf"/></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113"/>
  <sheetViews>
    <sheetView showGridLines="0" zoomScaleSheetLayoutView="80" workbookViewId="0">
      <selection activeCell="A51" sqref="A51:B51"/>
    </sheetView>
  </sheetViews>
  <sheetFormatPr defaultColWidth="9.140625" defaultRowHeight="18" customHeight="1" x14ac:dyDescent="0.2"/>
  <cols>
    <col min="1" max="1" width="4.42578125" style="15" customWidth="1"/>
    <col min="2" max="2" width="154.7109375" style="3" customWidth="1"/>
    <col min="3" max="16384" width="9.140625" style="3"/>
  </cols>
  <sheetData>
    <row r="1" spans="1:2" s="9" customFormat="1" ht="21" customHeight="1" thickBot="1" x14ac:dyDescent="0.35">
      <c r="A1" s="385" t="s">
        <v>104</v>
      </c>
      <c r="B1" s="386"/>
    </row>
    <row r="2" spans="1:2" ht="12" customHeight="1" x14ac:dyDescent="0.2">
      <c r="A2" s="13"/>
      <c r="B2" s="1"/>
    </row>
    <row r="3" spans="1:2" ht="15" x14ac:dyDescent="0.2">
      <c r="A3" s="387" t="s">
        <v>103</v>
      </c>
      <c r="B3" s="387"/>
    </row>
    <row r="4" spans="1:2" ht="15" customHeight="1" x14ac:dyDescent="0.2">
      <c r="A4" s="263"/>
      <c r="B4" s="264" t="s">
        <v>473</v>
      </c>
    </row>
    <row r="5" spans="1:2" ht="32.25" customHeight="1" x14ac:dyDescent="0.2">
      <c r="A5" s="265"/>
      <c r="B5" s="266" t="s">
        <v>565</v>
      </c>
    </row>
    <row r="6" spans="1:2" s="10" customFormat="1" ht="12" customHeight="1" thickBot="1" x14ac:dyDescent="0.25"/>
    <row r="7" spans="1:2" s="10" customFormat="1" ht="18" customHeight="1" thickBot="1" x14ac:dyDescent="0.25">
      <c r="A7" s="388" t="s">
        <v>478</v>
      </c>
      <c r="B7" s="389"/>
    </row>
    <row r="8" spans="1:2" s="10" customFormat="1" ht="27.75" customHeight="1" x14ac:dyDescent="0.2">
      <c r="A8" s="272">
        <v>1</v>
      </c>
      <c r="B8" s="273" t="s">
        <v>483</v>
      </c>
    </row>
    <row r="9" spans="1:2" s="10" customFormat="1" ht="15" x14ac:dyDescent="0.2">
      <c r="A9" s="272">
        <v>2</v>
      </c>
      <c r="B9" s="273" t="s">
        <v>484</v>
      </c>
    </row>
    <row r="10" spans="1:2" s="10" customFormat="1" ht="15" x14ac:dyDescent="0.2">
      <c r="A10" s="272">
        <v>3</v>
      </c>
      <c r="B10" s="273" t="s">
        <v>485</v>
      </c>
    </row>
    <row r="11" spans="1:2" s="10" customFormat="1" ht="143.25" customHeight="1" x14ac:dyDescent="0.2">
      <c r="A11" s="272">
        <v>4</v>
      </c>
      <c r="B11" s="273" t="s">
        <v>548</v>
      </c>
    </row>
    <row r="12" spans="1:2" s="10" customFormat="1" ht="15" x14ac:dyDescent="0.2">
      <c r="A12" s="272">
        <v>5</v>
      </c>
      <c r="B12" s="273" t="s">
        <v>486</v>
      </c>
    </row>
    <row r="13" spans="1:2" s="10" customFormat="1" ht="25.5" x14ac:dyDescent="0.2">
      <c r="A13" s="272">
        <v>6</v>
      </c>
      <c r="B13" s="273" t="s">
        <v>487</v>
      </c>
    </row>
    <row r="14" spans="1:2" s="10" customFormat="1" ht="15" x14ac:dyDescent="0.2">
      <c r="A14" s="272">
        <v>7</v>
      </c>
      <c r="B14" s="273" t="s">
        <v>488</v>
      </c>
    </row>
    <row r="15" spans="1:2" s="10" customFormat="1" ht="15" x14ac:dyDescent="0.2">
      <c r="A15" s="272">
        <v>8</v>
      </c>
      <c r="B15" s="273" t="s">
        <v>489</v>
      </c>
    </row>
    <row r="16" spans="1:2" s="10" customFormat="1" ht="15" x14ac:dyDescent="0.2">
      <c r="A16" s="272">
        <v>9</v>
      </c>
      <c r="B16" s="273" t="s">
        <v>562</v>
      </c>
    </row>
    <row r="17" spans="1:2" s="10" customFormat="1" ht="15" x14ac:dyDescent="0.2">
      <c r="A17" s="272">
        <v>10</v>
      </c>
      <c r="B17" s="273" t="s">
        <v>563</v>
      </c>
    </row>
    <row r="18" spans="1:2" s="10" customFormat="1" ht="28.5" customHeight="1" x14ac:dyDescent="0.2">
      <c r="A18" s="272">
        <v>11</v>
      </c>
      <c r="B18" s="273" t="s">
        <v>490</v>
      </c>
    </row>
    <row r="19" spans="1:2" s="10" customFormat="1" ht="104.25" customHeight="1" x14ac:dyDescent="0.2">
      <c r="A19" s="272">
        <v>12</v>
      </c>
      <c r="B19" s="273" t="s">
        <v>581</v>
      </c>
    </row>
    <row r="20" spans="1:2" s="10" customFormat="1" ht="15" x14ac:dyDescent="0.2">
      <c r="A20" s="272">
        <v>13</v>
      </c>
      <c r="B20" s="273" t="s">
        <v>491</v>
      </c>
    </row>
    <row r="21" spans="1:2" s="10" customFormat="1" ht="15" x14ac:dyDescent="0.2">
      <c r="A21" s="272">
        <v>14</v>
      </c>
      <c r="B21" s="273" t="s">
        <v>492</v>
      </c>
    </row>
    <row r="22" spans="1:2" s="10" customFormat="1" ht="15" x14ac:dyDescent="0.2">
      <c r="A22" s="272">
        <v>15</v>
      </c>
      <c r="B22" s="273" t="s">
        <v>493</v>
      </c>
    </row>
    <row r="23" spans="1:2" s="10" customFormat="1" ht="43.5" customHeight="1" x14ac:dyDescent="0.2">
      <c r="A23" s="272">
        <v>16</v>
      </c>
      <c r="B23" s="273" t="s">
        <v>494</v>
      </c>
    </row>
    <row r="24" spans="1:2" s="10" customFormat="1" ht="40.5" customHeight="1" x14ac:dyDescent="0.2">
      <c r="A24" s="272">
        <v>17</v>
      </c>
      <c r="B24" s="273" t="s">
        <v>495</v>
      </c>
    </row>
    <row r="25" spans="1:2" s="10" customFormat="1" ht="15" x14ac:dyDescent="0.2">
      <c r="A25" s="272">
        <v>18</v>
      </c>
      <c r="B25" s="273" t="s">
        <v>564</v>
      </c>
    </row>
    <row r="26" spans="1:2" s="10" customFormat="1" ht="25.5" x14ac:dyDescent="0.2">
      <c r="A26" s="272">
        <v>19</v>
      </c>
      <c r="B26" s="273" t="s">
        <v>496</v>
      </c>
    </row>
    <row r="27" spans="1:2" s="10" customFormat="1" ht="15" x14ac:dyDescent="0.2">
      <c r="A27" s="272">
        <v>20</v>
      </c>
      <c r="B27" s="273" t="s">
        <v>497</v>
      </c>
    </row>
    <row r="28" spans="1:2" s="10" customFormat="1" ht="39.75" customHeight="1" x14ac:dyDescent="0.2">
      <c r="A28" s="272">
        <v>21</v>
      </c>
      <c r="B28" s="273" t="s">
        <v>580</v>
      </c>
    </row>
    <row r="29" spans="1:2" s="10" customFormat="1" ht="15" x14ac:dyDescent="0.2">
      <c r="A29" s="272">
        <v>22</v>
      </c>
      <c r="B29" s="273" t="s">
        <v>498</v>
      </c>
    </row>
    <row r="30" spans="1:2" s="10" customFormat="1" ht="48.75" customHeight="1" x14ac:dyDescent="0.2">
      <c r="A30" s="272">
        <v>23</v>
      </c>
      <c r="B30" s="273" t="s">
        <v>499</v>
      </c>
    </row>
    <row r="31" spans="1:2" s="10" customFormat="1" ht="30" customHeight="1" x14ac:dyDescent="0.2">
      <c r="A31" s="272">
        <v>24</v>
      </c>
      <c r="B31" s="273" t="s">
        <v>500</v>
      </c>
    </row>
    <row r="32" spans="1:2" s="10" customFormat="1" ht="29.25" customHeight="1" x14ac:dyDescent="0.2">
      <c r="A32" s="272">
        <v>25</v>
      </c>
      <c r="B32" s="273" t="s">
        <v>999</v>
      </c>
    </row>
    <row r="33" spans="1:2" s="10" customFormat="1" ht="43.5" customHeight="1" x14ac:dyDescent="0.2">
      <c r="A33" s="272">
        <v>26</v>
      </c>
      <c r="B33" s="273" t="s">
        <v>554</v>
      </c>
    </row>
    <row r="34" spans="1:2" s="10" customFormat="1" ht="57" customHeight="1" x14ac:dyDescent="0.2">
      <c r="A34" s="272">
        <v>27</v>
      </c>
      <c r="B34" s="273" t="s">
        <v>1000</v>
      </c>
    </row>
    <row r="35" spans="1:2" s="10" customFormat="1" ht="62.25" customHeight="1" x14ac:dyDescent="0.2">
      <c r="A35" s="272">
        <v>28</v>
      </c>
      <c r="B35" s="273" t="s">
        <v>550</v>
      </c>
    </row>
    <row r="36" spans="1:2" s="10" customFormat="1" ht="60.75" customHeight="1" x14ac:dyDescent="0.2">
      <c r="A36" s="272">
        <v>29</v>
      </c>
      <c r="B36" s="273" t="s">
        <v>547</v>
      </c>
    </row>
    <row r="37" spans="1:2" s="10" customFormat="1" ht="15" x14ac:dyDescent="0.2">
      <c r="A37" s="272">
        <v>30</v>
      </c>
      <c r="B37" s="273" t="s">
        <v>501</v>
      </c>
    </row>
    <row r="38" spans="1:2" s="10" customFormat="1" ht="31.5" customHeight="1" x14ac:dyDescent="0.2">
      <c r="A38" s="272">
        <v>31</v>
      </c>
      <c r="B38" s="273" t="s">
        <v>502</v>
      </c>
    </row>
    <row r="39" spans="1:2" s="10" customFormat="1" ht="30" customHeight="1" x14ac:dyDescent="0.2">
      <c r="A39" s="272">
        <v>32</v>
      </c>
      <c r="B39" s="273" t="s">
        <v>566</v>
      </c>
    </row>
    <row r="40" spans="1:2" s="10" customFormat="1" ht="15.75" thickBot="1" x14ac:dyDescent="0.25"/>
    <row r="41" spans="1:2" s="10" customFormat="1" ht="16.5" thickBot="1" x14ac:dyDescent="0.25">
      <c r="A41" s="388" t="s">
        <v>527</v>
      </c>
      <c r="B41" s="389"/>
    </row>
    <row r="42" spans="1:2" s="269" customFormat="1" ht="12.75" x14ac:dyDescent="0.2">
      <c r="A42" s="267"/>
      <c r="B42" s="268" t="s">
        <v>476</v>
      </c>
    </row>
    <row r="43" spans="1:2" s="10" customFormat="1" ht="15.75" thickBot="1" x14ac:dyDescent="0.25"/>
    <row r="44" spans="1:2" s="10" customFormat="1" ht="16.5" thickBot="1" x14ac:dyDescent="0.25">
      <c r="A44" s="388" t="s">
        <v>504</v>
      </c>
      <c r="B44" s="389"/>
    </row>
    <row r="45" spans="1:2" s="269" customFormat="1" ht="12.75" x14ac:dyDescent="0.2">
      <c r="A45" s="270"/>
      <c r="B45" s="271" t="s">
        <v>476</v>
      </c>
    </row>
    <row r="46" spans="1:2" s="269" customFormat="1" ht="18" customHeight="1" x14ac:dyDescent="0.2">
      <c r="A46" s="270"/>
      <c r="B46" s="271" t="s">
        <v>503</v>
      </c>
    </row>
    <row r="47" spans="1:2" s="10" customFormat="1" ht="15.75" thickBot="1" x14ac:dyDescent="0.25"/>
    <row r="48" spans="1:2" s="10" customFormat="1" ht="16.5" thickBot="1" x14ac:dyDescent="0.25">
      <c r="A48" s="388" t="s">
        <v>479</v>
      </c>
      <c r="B48" s="389"/>
    </row>
    <row r="49" spans="1:2" s="269" customFormat="1" ht="12.75" x14ac:dyDescent="0.2">
      <c r="A49" s="267"/>
      <c r="B49" s="268" t="s">
        <v>475</v>
      </c>
    </row>
    <row r="50" spans="1:2" s="10" customFormat="1" ht="26.25" thickBot="1" x14ac:dyDescent="0.25">
      <c r="B50" s="384" t="s">
        <v>1001</v>
      </c>
    </row>
    <row r="51" spans="1:2" s="10" customFormat="1" ht="16.5" thickBot="1" x14ac:dyDescent="0.3">
      <c r="A51" s="390" t="s">
        <v>480</v>
      </c>
      <c r="B51" s="392"/>
    </row>
    <row r="52" spans="1:2" s="269" customFormat="1" ht="12.75" x14ac:dyDescent="0.2">
      <c r="A52" s="267"/>
      <c r="B52" s="268" t="s">
        <v>477</v>
      </c>
    </row>
    <row r="53" spans="1:2" s="10" customFormat="1" ht="15.75" thickBot="1" x14ac:dyDescent="0.25"/>
    <row r="54" spans="1:2" s="10" customFormat="1" ht="16.5" thickBot="1" x14ac:dyDescent="0.3">
      <c r="A54" s="390" t="s">
        <v>481</v>
      </c>
      <c r="B54" s="391"/>
    </row>
    <row r="55" spans="1:2" s="10" customFormat="1" ht="15.75" thickBot="1" x14ac:dyDescent="0.25"/>
    <row r="56" spans="1:2" s="10" customFormat="1" ht="16.5" thickBot="1" x14ac:dyDescent="0.3">
      <c r="A56" s="390" t="s">
        <v>482</v>
      </c>
      <c r="B56" s="391"/>
    </row>
    <row r="57" spans="1:2" s="10" customFormat="1" ht="15.75" thickBot="1" x14ac:dyDescent="0.25"/>
    <row r="58" spans="1:2" s="10" customFormat="1" ht="16.5" thickBot="1" x14ac:dyDescent="0.25">
      <c r="A58" s="388" t="s">
        <v>106</v>
      </c>
      <c r="B58" s="389"/>
    </row>
    <row r="59" spans="1:2" s="269" customFormat="1" ht="26.25" customHeight="1" x14ac:dyDescent="0.2">
      <c r="A59" s="267">
        <v>1</v>
      </c>
      <c r="B59" s="275" t="s">
        <v>676</v>
      </c>
    </row>
    <row r="60" spans="1:2" s="269" customFormat="1" ht="39.75" customHeight="1" x14ac:dyDescent="0.2">
      <c r="A60" s="270">
        <v>2</v>
      </c>
      <c r="B60" s="274" t="s">
        <v>675</v>
      </c>
    </row>
    <row r="61" spans="1:2" s="269" customFormat="1" ht="41.25" customHeight="1" x14ac:dyDescent="0.2">
      <c r="A61" s="270">
        <v>3</v>
      </c>
      <c r="B61" s="274" t="s">
        <v>704</v>
      </c>
    </row>
    <row r="62" spans="1:2" s="269" customFormat="1" ht="39.75" customHeight="1" x14ac:dyDescent="0.2">
      <c r="A62" s="270">
        <v>4</v>
      </c>
      <c r="B62" s="274" t="s">
        <v>706</v>
      </c>
    </row>
    <row r="63" spans="1:2" s="269" customFormat="1" ht="41.25" customHeight="1" x14ac:dyDescent="0.2">
      <c r="A63" s="270">
        <v>5</v>
      </c>
      <c r="B63" s="274" t="s">
        <v>705</v>
      </c>
    </row>
    <row r="64" spans="1:2" ht="12.75" x14ac:dyDescent="0.2">
      <c r="A64" s="14"/>
      <c r="B64" s="1"/>
    </row>
    <row r="65" spans="1:2" ht="12.75" x14ac:dyDescent="0.2">
      <c r="A65" s="14"/>
      <c r="B65" s="1"/>
    </row>
    <row r="66" spans="1:2" ht="12.75" x14ac:dyDescent="0.2"/>
    <row r="67" spans="1:2" ht="12.75" x14ac:dyDescent="0.2"/>
    <row r="68" spans="1:2" ht="12.75" x14ac:dyDescent="0.2"/>
    <row r="69" spans="1:2" ht="12.75" x14ac:dyDescent="0.2"/>
    <row r="70" spans="1:2" ht="12.75" x14ac:dyDescent="0.2"/>
    <row r="71" spans="1:2" ht="12.75" x14ac:dyDescent="0.2"/>
    <row r="72" spans="1:2" ht="12.75" x14ac:dyDescent="0.2"/>
    <row r="73" spans="1:2" ht="12.75" x14ac:dyDescent="0.2"/>
    <row r="74" spans="1:2" ht="12.75" x14ac:dyDescent="0.2"/>
    <row r="75" spans="1:2" ht="12.75" x14ac:dyDescent="0.2"/>
    <row r="76" spans="1:2" ht="12.75" x14ac:dyDescent="0.2"/>
    <row r="77" spans="1:2" ht="12.75" x14ac:dyDescent="0.2"/>
    <row r="78" spans="1:2" ht="12.75" x14ac:dyDescent="0.2"/>
    <row r="79" spans="1:2" ht="12.75" x14ac:dyDescent="0.2"/>
    <row r="80" spans="1:2"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13" ht="22.5" customHeight="1" x14ac:dyDescent="0.2"/>
  </sheetData>
  <mergeCells count="10">
    <mergeCell ref="A1:B1"/>
    <mergeCell ref="A3:B3"/>
    <mergeCell ref="A58:B58"/>
    <mergeCell ref="A56:B56"/>
    <mergeCell ref="A54:B54"/>
    <mergeCell ref="A51:B51"/>
    <mergeCell ref="A48:B48"/>
    <mergeCell ref="A44:B44"/>
    <mergeCell ref="A41:B41"/>
    <mergeCell ref="A7:B7"/>
  </mergeCells>
  <phoneticPr fontId="2" type="noConversion"/>
  <printOptions horizontalCentered="1"/>
  <pageMargins left="0.7" right="0.7" top="0.75" bottom="0.75" header="0.3" footer="0.3"/>
  <pageSetup scale="83" fitToHeight="2" orientation="portrait" r:id="rId1"/>
  <headerFooter alignWithMargins="0">
    <oddHeader>&amp;C&amp;F
&amp;R&amp;D</oddHeader>
    <oddFooter>&amp;C&amp;A&amp;R&amp;P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K176"/>
  <sheetViews>
    <sheetView showGridLines="0" tabSelected="1" zoomScaleSheetLayoutView="100" workbookViewId="0">
      <selection activeCell="B1" sqref="B1"/>
    </sheetView>
  </sheetViews>
  <sheetFormatPr defaultColWidth="9.140625" defaultRowHeight="12.75" x14ac:dyDescent="0.2"/>
  <cols>
    <col min="1" max="1" width="21.5703125" style="81" customWidth="1"/>
    <col min="2" max="2" width="13.28515625" style="81" customWidth="1"/>
    <col min="3" max="3" width="14" style="81" customWidth="1"/>
    <col min="4" max="4" width="14.85546875" style="81" customWidth="1"/>
    <col min="5" max="6" width="12.140625" style="81" customWidth="1"/>
    <col min="7" max="7" width="8.42578125" style="81" customWidth="1"/>
    <col min="8" max="8" width="8.28515625" style="81" customWidth="1"/>
    <col min="9" max="9" width="12.7109375" style="81" customWidth="1"/>
    <col min="10" max="10" width="18.140625" style="81" customWidth="1"/>
    <col min="11" max="16" width="6.28515625" style="81" customWidth="1"/>
    <col min="17" max="17" width="7.85546875" style="81" customWidth="1"/>
    <col min="18" max="18" width="5.28515625" style="95" hidden="1" customWidth="1"/>
    <col min="19" max="19" width="4.42578125" style="95" hidden="1" customWidth="1"/>
    <col min="20" max="20" width="21.42578125" style="95" hidden="1" customWidth="1"/>
    <col min="21" max="23" width="6.85546875" style="95" hidden="1" customWidth="1"/>
    <col min="24" max="27" width="6.85546875" style="219" hidden="1" customWidth="1"/>
    <col min="28" max="28" width="5.42578125" style="219" hidden="1" customWidth="1"/>
    <col min="29" max="29" width="6.85546875" style="219" hidden="1" customWidth="1"/>
    <col min="30" max="30" width="6.28515625" style="219" hidden="1" customWidth="1"/>
    <col min="31" max="31" width="8.42578125" style="88" hidden="1" customWidth="1"/>
    <col min="32" max="32" width="9" style="88" hidden="1" customWidth="1"/>
    <col min="33" max="34" width="14.42578125" style="88" hidden="1" customWidth="1"/>
    <col min="35" max="35" width="9.7109375" style="88" hidden="1" customWidth="1"/>
    <col min="36" max="36" width="8.85546875" style="88" hidden="1" customWidth="1"/>
    <col min="37" max="37" width="20" style="88" hidden="1" customWidth="1"/>
    <col min="38" max="38" width="4.28515625" style="88" hidden="1" customWidth="1"/>
    <col min="39" max="39" width="55.42578125" style="218" hidden="1" customWidth="1"/>
    <col min="40" max="40" width="2.28515625" style="95" hidden="1" customWidth="1"/>
    <col min="41" max="41" width="12.42578125" style="95" hidden="1" customWidth="1"/>
    <col min="42" max="42" width="25.42578125" style="95" hidden="1" customWidth="1"/>
    <col min="43" max="43" width="9.85546875" style="95" hidden="1" customWidth="1"/>
    <col min="44" max="44" width="5.42578125" style="95" hidden="1" customWidth="1"/>
    <col min="45" max="45" width="23.140625" style="95" hidden="1" customWidth="1"/>
    <col min="46" max="46" width="3.140625" style="95" hidden="1" customWidth="1"/>
    <col min="47" max="47" width="4.140625" style="95" hidden="1" customWidth="1"/>
    <col min="48" max="48" width="1.85546875" style="95" hidden="1" customWidth="1"/>
    <col min="49" max="49" width="17.7109375" style="95" hidden="1" customWidth="1"/>
    <col min="50" max="50" width="9.140625" style="95" hidden="1" customWidth="1"/>
    <col min="51" max="51" width="6.7109375" style="95" hidden="1" customWidth="1"/>
    <col min="52" max="52" width="4.7109375" style="95" hidden="1" customWidth="1"/>
    <col min="53" max="53" width="3.85546875" style="95" hidden="1" customWidth="1"/>
    <col min="54" max="54" width="29" style="218" hidden="1" customWidth="1"/>
    <col min="55" max="55" width="2.140625" style="218" hidden="1" customWidth="1"/>
    <col min="56" max="56" width="23.28515625" style="218" hidden="1" customWidth="1"/>
    <col min="57" max="58" width="9.140625" style="81" customWidth="1"/>
    <col min="59" max="16384" width="9.140625" style="81"/>
  </cols>
  <sheetData>
    <row r="1" spans="1:56" ht="30" customHeight="1" thickBot="1" x14ac:dyDescent="0.25">
      <c r="A1" s="80"/>
      <c r="B1" s="313" t="s">
        <v>707</v>
      </c>
      <c r="C1" s="276" t="s">
        <v>708</v>
      </c>
      <c r="E1" s="82"/>
      <c r="F1" s="82"/>
      <c r="J1" s="302" t="s">
        <v>709</v>
      </c>
      <c r="K1" s="491" t="s">
        <v>18</v>
      </c>
      <c r="L1" s="492"/>
      <c r="M1" s="506"/>
      <c r="N1" s="506"/>
      <c r="O1" s="506"/>
      <c r="P1" s="507"/>
      <c r="R1" s="83" t="s">
        <v>41</v>
      </c>
      <c r="S1" s="83" t="s">
        <v>353</v>
      </c>
      <c r="T1" s="83" t="s">
        <v>33</v>
      </c>
      <c r="U1" s="83" t="s">
        <v>39</v>
      </c>
      <c r="V1" s="84" t="s">
        <v>34</v>
      </c>
      <c r="W1" s="84" t="s">
        <v>97</v>
      </c>
      <c r="X1" s="85" t="s">
        <v>339</v>
      </c>
      <c r="Y1" s="85" t="s">
        <v>340</v>
      </c>
      <c r="Z1" s="244" t="s">
        <v>470</v>
      </c>
      <c r="AA1" s="83" t="s">
        <v>471</v>
      </c>
      <c r="AB1" s="83" t="s">
        <v>505</v>
      </c>
      <c r="AC1" s="86" t="s">
        <v>370</v>
      </c>
      <c r="AD1" s="87" t="s">
        <v>369</v>
      </c>
      <c r="AF1" s="89" t="s">
        <v>40</v>
      </c>
      <c r="AG1" s="90" t="s">
        <v>377</v>
      </c>
      <c r="AH1" s="91" t="s">
        <v>372</v>
      </c>
      <c r="AI1" s="92" t="s">
        <v>341</v>
      </c>
      <c r="AJ1" s="92" t="s">
        <v>401</v>
      </c>
      <c r="AK1" s="93" t="s">
        <v>312</v>
      </c>
      <c r="AM1" s="94" t="s">
        <v>673</v>
      </c>
      <c r="AO1" s="96" t="s">
        <v>995</v>
      </c>
      <c r="AP1" s="96" t="s">
        <v>212</v>
      </c>
      <c r="AQ1" s="280">
        <f>IF(ISNA(VLOOKUP(Vendor_Num,Brand_Vend_List,1,FALSE)),0,VLOOKUP(Vendor_Num,Brand_Vend_List,1,FALSE))</f>
        <v>0</v>
      </c>
      <c r="AS1" s="97" t="s">
        <v>347</v>
      </c>
      <c r="AT1" s="98"/>
      <c r="AU1" s="96"/>
      <c r="AV1" s="99"/>
      <c r="AW1" s="97" t="s">
        <v>674</v>
      </c>
      <c r="AX1" s="341" t="s">
        <v>215</v>
      </c>
      <c r="AY1" s="342" t="s">
        <v>216</v>
      </c>
      <c r="AZ1" s="342" t="s">
        <v>217</v>
      </c>
      <c r="BA1" s="100"/>
      <c r="BB1" s="343" t="s">
        <v>703</v>
      </c>
      <c r="BC1" s="148"/>
      <c r="BD1" s="341" t="s">
        <v>996</v>
      </c>
    </row>
    <row r="2" spans="1:56" ht="13.5" customHeight="1" thickBot="1" x14ac:dyDescent="0.25">
      <c r="A2" s="232" t="s">
        <v>0</v>
      </c>
      <c r="B2" s="232" t="s">
        <v>1</v>
      </c>
      <c r="C2" s="521" t="s">
        <v>2</v>
      </c>
      <c r="D2" s="522"/>
      <c r="E2" s="521" t="s">
        <v>3</v>
      </c>
      <c r="F2" s="521"/>
      <c r="G2" s="521"/>
      <c r="H2" s="504" t="s">
        <v>129</v>
      </c>
      <c r="I2" s="505"/>
      <c r="J2" s="101" t="s">
        <v>379</v>
      </c>
      <c r="K2" s="514" t="s">
        <v>19</v>
      </c>
      <c r="L2" s="514"/>
      <c r="M2" s="508"/>
      <c r="N2" s="508"/>
      <c r="O2" s="508"/>
      <c r="P2" s="509"/>
      <c r="R2" s="102">
        <f>PortSeq</f>
        <v>29</v>
      </c>
      <c r="S2" s="103" t="str">
        <f>VLOOKUP($R2,$R$3:$AD$105,2,FALSE)</f>
        <v>ASIA</v>
      </c>
      <c r="T2" s="103" t="str">
        <f>VLOOKUP($R2,$R$3:$AD$105,3,FALSE)</f>
        <v>China, Yantian/Shenzhen/Shekou/Chiwan</v>
      </c>
      <c r="U2" s="104">
        <f>VLOOKUP($R2,$R$3:$AD$501,4,FALSE)</f>
        <v>2.92</v>
      </c>
      <c r="V2" s="104">
        <f>VLOOKUP($R2,$R$3:$AD$501,5,FALSE)</f>
        <v>4.5279999999999987</v>
      </c>
      <c r="W2" s="105">
        <f>VLOOKUP($R2,$R$3:$AD$501,6,FALSE)</f>
        <v>2.9200000000000004</v>
      </c>
      <c r="X2" s="104">
        <f>VLOOKUP($R2,$R$3:$AD$501,7,FALSE)</f>
        <v>3.63</v>
      </c>
      <c r="Y2" s="104">
        <f>VLOOKUP($R2,$R$3:$AD$501,8,FALSE)</f>
        <v>5.0779999999999985</v>
      </c>
      <c r="Z2" s="104">
        <f>VLOOKUP($R2,$R$3:$AD$501,9,FALSE)</f>
        <v>4.47</v>
      </c>
      <c r="AA2" s="104">
        <f>VLOOKUP($R2,$R$3:$AD$501,10,FALSE)</f>
        <v>5.08</v>
      </c>
      <c r="AB2" s="104" t="str">
        <f>VLOOKUP($R2,$R$3:$AD$105,11,FALSE)</f>
        <v>N</v>
      </c>
      <c r="AC2" s="104">
        <f>VLOOKUP($R2,$R$3:$AD$501,12,FALSE)</f>
        <v>7.0000000000000007E-2</v>
      </c>
      <c r="AD2" s="106">
        <f>VLOOKUP($R2,$R$3:$AD$501,13,FALSE)</f>
        <v>-0.1</v>
      </c>
      <c r="AE2" s="107" t="s">
        <v>345</v>
      </c>
      <c r="AF2" s="108">
        <v>1</v>
      </c>
      <c r="AG2" s="109" t="str">
        <f>IF(FCL40Rate&lt;&gt;"No Rates",AH2,"")</f>
        <v>FCL - 40'/40H/45'</v>
      </c>
      <c r="AH2" s="293" t="s">
        <v>551</v>
      </c>
      <c r="AI2" s="110">
        <v>43890</v>
      </c>
      <c r="AJ2" s="110">
        <v>2000</v>
      </c>
      <c r="AK2" s="111">
        <v>210</v>
      </c>
      <c r="AM2" s="112"/>
      <c r="AN2" s="113"/>
      <c r="AO2" s="372">
        <v>1004328</v>
      </c>
      <c r="AP2" s="339" t="s">
        <v>677</v>
      </c>
      <c r="AQ2" s="340"/>
      <c r="AS2" s="112" t="s">
        <v>242</v>
      </c>
      <c r="AT2" s="113"/>
      <c r="AU2" s="113" t="s">
        <v>110</v>
      </c>
      <c r="AV2" s="113">
        <v>1</v>
      </c>
      <c r="AW2" s="114"/>
      <c r="AX2" s="115"/>
      <c r="AY2" s="116">
        <v>2</v>
      </c>
      <c r="AZ2" s="117">
        <f>VLOOKUP(Curr_Selected,AV:AX,3,FALSE)</f>
        <v>1</v>
      </c>
      <c r="BA2" s="113"/>
      <c r="BB2" s="112"/>
      <c r="BC2" s="148"/>
      <c r="BD2" s="112"/>
    </row>
    <row r="3" spans="1:56" ht="18" customHeight="1" thickBot="1" x14ac:dyDescent="0.25">
      <c r="A3" s="53"/>
      <c r="B3" s="54"/>
      <c r="C3" s="525"/>
      <c r="D3" s="525"/>
      <c r="E3" s="523"/>
      <c r="F3" s="524"/>
      <c r="G3" s="118"/>
      <c r="H3" s="119"/>
      <c r="I3" s="120"/>
      <c r="J3" s="121"/>
      <c r="K3" s="515" t="s">
        <v>11</v>
      </c>
      <c r="L3" s="515"/>
      <c r="M3" s="510"/>
      <c r="N3" s="510"/>
      <c r="O3" s="510"/>
      <c r="P3" s="511"/>
      <c r="R3" s="122">
        <v>1</v>
      </c>
      <c r="S3" s="286" t="s">
        <v>351</v>
      </c>
      <c r="T3" s="286" t="s">
        <v>81</v>
      </c>
      <c r="U3" s="314">
        <v>1.79</v>
      </c>
      <c r="V3" s="314">
        <v>2.91</v>
      </c>
      <c r="W3" s="123" t="s">
        <v>368</v>
      </c>
      <c r="X3" s="314">
        <v>2.82</v>
      </c>
      <c r="Y3" s="314">
        <v>3.5100000000000002</v>
      </c>
      <c r="Z3" s="315">
        <v>3.34</v>
      </c>
      <c r="AA3" s="315">
        <v>4.2699999999999996</v>
      </c>
      <c r="AB3" s="123" t="s">
        <v>506</v>
      </c>
      <c r="AC3" s="287">
        <v>7.0000000000000007E-2</v>
      </c>
      <c r="AD3" s="124">
        <v>-0.1</v>
      </c>
      <c r="AE3" s="125"/>
      <c r="AF3" s="108">
        <v>2</v>
      </c>
      <c r="AG3" s="109" t="str">
        <f>IF(FCL20Rate&lt;&gt;"No Rates",AH3,"")</f>
        <v>FCL - 20'</v>
      </c>
      <c r="AH3" s="293" t="s">
        <v>552</v>
      </c>
      <c r="AI3" s="110">
        <v>38940</v>
      </c>
      <c r="AJ3" s="110">
        <v>1000</v>
      </c>
      <c r="AK3" s="111">
        <v>360</v>
      </c>
      <c r="AM3" s="126" t="s">
        <v>609</v>
      </c>
      <c r="AN3" s="113"/>
      <c r="AO3" s="339">
        <v>3890</v>
      </c>
      <c r="AP3" s="339" t="s">
        <v>383</v>
      </c>
      <c r="AQ3" s="340"/>
      <c r="AR3" s="113"/>
      <c r="AS3" s="112" t="s">
        <v>211</v>
      </c>
      <c r="AT3" s="113"/>
      <c r="AU3" s="113" t="s">
        <v>111</v>
      </c>
      <c r="AV3" s="113">
        <v>2</v>
      </c>
      <c r="AW3" s="127" t="s">
        <v>227</v>
      </c>
      <c r="AX3" s="334">
        <v>1</v>
      </c>
      <c r="AY3" s="113"/>
      <c r="AZ3" s="113"/>
      <c r="BA3" s="113"/>
      <c r="BB3" s="112" t="s">
        <v>406</v>
      </c>
      <c r="BC3" s="148"/>
      <c r="BD3" s="310" t="s">
        <v>976</v>
      </c>
    </row>
    <row r="4" spans="1:56" ht="21" customHeight="1" thickBot="1" x14ac:dyDescent="0.25">
      <c r="A4" s="128"/>
      <c r="B4" s="128"/>
      <c r="C4" s="129"/>
      <c r="D4" s="129"/>
      <c r="E4" s="129"/>
      <c r="F4" s="129"/>
      <c r="I4" s="130"/>
      <c r="J4" s="131"/>
      <c r="R4" s="126">
        <v>2</v>
      </c>
      <c r="S4" s="132" t="s">
        <v>361</v>
      </c>
      <c r="T4" s="126" t="s">
        <v>362</v>
      </c>
      <c r="U4" s="316">
        <v>3.18</v>
      </c>
      <c r="V4" s="316">
        <v>4.3999999999999995</v>
      </c>
      <c r="W4" s="315" t="s">
        <v>368</v>
      </c>
      <c r="X4" s="317">
        <v>4.17</v>
      </c>
      <c r="Y4" s="317">
        <v>5.0799999999999992</v>
      </c>
      <c r="Z4" s="315" t="s">
        <v>368</v>
      </c>
      <c r="AA4" s="315" t="s">
        <v>368</v>
      </c>
      <c r="AB4" s="123" t="s">
        <v>506</v>
      </c>
      <c r="AC4" s="133">
        <v>7.0000000000000007E-2</v>
      </c>
      <c r="AD4" s="124">
        <v>-0.1</v>
      </c>
      <c r="AE4" s="125"/>
      <c r="AF4" s="108">
        <v>3</v>
      </c>
      <c r="AG4" s="134" t="str">
        <f>IF(AND(FoodSeq=1,CFSRate&lt;&gt;"No Rates"),AH4,"")</f>
        <v>LCL</v>
      </c>
      <c r="AH4" s="293" t="s">
        <v>97</v>
      </c>
      <c r="AI4" s="110">
        <v>43890</v>
      </c>
      <c r="AJ4" s="110">
        <v>2000</v>
      </c>
      <c r="AK4" s="111">
        <v>608</v>
      </c>
      <c r="AM4" s="126" t="s">
        <v>610</v>
      </c>
      <c r="AN4" s="113"/>
      <c r="AO4" s="339">
        <v>5000000</v>
      </c>
      <c r="AP4" s="339" t="s">
        <v>383</v>
      </c>
      <c r="AQ4" s="340"/>
      <c r="AS4" s="112" t="s">
        <v>572</v>
      </c>
      <c r="AT4" s="113"/>
      <c r="AU4" s="113"/>
      <c r="AV4" s="113">
        <v>3</v>
      </c>
      <c r="AW4" s="127" t="s">
        <v>228</v>
      </c>
      <c r="AX4" s="370">
        <v>1.25</v>
      </c>
      <c r="AY4" s="113"/>
      <c r="AZ4" s="113"/>
      <c r="BA4" s="113"/>
      <c r="BB4" s="112" t="s">
        <v>407</v>
      </c>
      <c r="BC4" s="148"/>
      <c r="BD4" s="310" t="s">
        <v>977</v>
      </c>
    </row>
    <row r="5" spans="1:56" ht="15" customHeight="1" thickBot="1" x14ac:dyDescent="0.25">
      <c r="A5" s="135" t="s">
        <v>43</v>
      </c>
      <c r="B5" s="518"/>
      <c r="C5" s="518"/>
      <c r="D5" s="136" t="s">
        <v>70</v>
      </c>
      <c r="E5" s="516" t="s">
        <v>347</v>
      </c>
      <c r="F5" s="517"/>
      <c r="H5" s="502" t="s">
        <v>349</v>
      </c>
      <c r="I5" s="502"/>
      <c r="J5" s="503"/>
      <c r="K5" s="488" t="s">
        <v>337</v>
      </c>
      <c r="L5" s="489"/>
      <c r="M5" s="490"/>
      <c r="N5" s="488" t="s">
        <v>335</v>
      </c>
      <c r="O5" s="489"/>
      <c r="P5" s="490"/>
      <c r="R5" s="126">
        <v>3</v>
      </c>
      <c r="S5" s="132" t="s">
        <v>361</v>
      </c>
      <c r="T5" s="126" t="s">
        <v>363</v>
      </c>
      <c r="U5" s="316">
        <v>3.18</v>
      </c>
      <c r="V5" s="316">
        <v>4.3999999999999995</v>
      </c>
      <c r="W5" s="315" t="s">
        <v>368</v>
      </c>
      <c r="X5" s="317">
        <v>4.17</v>
      </c>
      <c r="Y5" s="317">
        <v>5.0799999999999992</v>
      </c>
      <c r="Z5" s="315" t="s">
        <v>368</v>
      </c>
      <c r="AA5" s="315" t="s">
        <v>368</v>
      </c>
      <c r="AB5" s="123" t="s">
        <v>506</v>
      </c>
      <c r="AC5" s="133">
        <v>7.0000000000000007E-2</v>
      </c>
      <c r="AD5" s="124">
        <v>-0.1</v>
      </c>
      <c r="AE5" s="137"/>
      <c r="AF5" s="108">
        <v>4</v>
      </c>
      <c r="AG5" s="109" t="str">
        <f>IF(DCL40Rate&lt;&gt;"No Rates",AH5,"")</f>
        <v>DCL 40'</v>
      </c>
      <c r="AH5" s="293" t="s">
        <v>339</v>
      </c>
      <c r="AI5" s="110">
        <v>47500</v>
      </c>
      <c r="AJ5" s="110">
        <v>2000</v>
      </c>
      <c r="AK5" s="111">
        <v>610</v>
      </c>
      <c r="AM5" s="126" t="s">
        <v>439</v>
      </c>
      <c r="AN5" s="113"/>
      <c r="AO5" s="339">
        <v>674680</v>
      </c>
      <c r="AP5" s="339" t="s">
        <v>165</v>
      </c>
      <c r="AQ5" s="340"/>
      <c r="AS5" s="112" t="s">
        <v>573</v>
      </c>
      <c r="AT5" s="113"/>
      <c r="AU5" s="113"/>
      <c r="AV5" s="113">
        <v>4</v>
      </c>
      <c r="AW5" s="127" t="s">
        <v>225</v>
      </c>
      <c r="AX5" s="334">
        <v>1.2706999999999999</v>
      </c>
      <c r="AY5" s="113"/>
      <c r="AZ5" s="113"/>
      <c r="BA5" s="113"/>
      <c r="BB5" s="112" t="s">
        <v>408</v>
      </c>
      <c r="BC5" s="148"/>
      <c r="BD5" s="310" t="s">
        <v>978</v>
      </c>
    </row>
    <row r="6" spans="1:56" ht="23.25" customHeight="1" thickBot="1" x14ac:dyDescent="0.25">
      <c r="A6" s="138" t="s">
        <v>557</v>
      </c>
      <c r="B6" s="222"/>
      <c r="C6" s="223" t="str">
        <f>IF(ISNA(VLOOKUP(Vendor_Num,Brand_Vend_List,2,FALSE)),"",VLOOKUP(Vendor_Num,Brand_Vend_List,2,FALSE))</f>
        <v/>
      </c>
      <c r="D6" s="139" t="s">
        <v>560</v>
      </c>
      <c r="E6" s="527"/>
      <c r="F6" s="528"/>
      <c r="G6" s="529"/>
      <c r="J6" s="140" t="s">
        <v>338</v>
      </c>
      <c r="K6" s="141" t="s">
        <v>205</v>
      </c>
      <c r="L6" s="142" t="s">
        <v>207</v>
      </c>
      <c r="M6" s="142" t="s">
        <v>209</v>
      </c>
      <c r="N6" s="141" t="s">
        <v>206</v>
      </c>
      <c r="O6" s="142" t="s">
        <v>208</v>
      </c>
      <c r="P6" s="143" t="s">
        <v>210</v>
      </c>
      <c r="R6" s="126">
        <v>4</v>
      </c>
      <c r="S6" s="132" t="s">
        <v>352</v>
      </c>
      <c r="T6" s="132" t="s">
        <v>45</v>
      </c>
      <c r="U6" s="316">
        <v>3.49</v>
      </c>
      <c r="V6" s="316">
        <v>5.4399999999999995</v>
      </c>
      <c r="W6" s="315" t="s">
        <v>368</v>
      </c>
      <c r="X6" s="317">
        <v>4.1999999999999993</v>
      </c>
      <c r="Y6" s="317">
        <v>5.9899999999999993</v>
      </c>
      <c r="Z6" s="315" t="s">
        <v>368</v>
      </c>
      <c r="AA6" s="315" t="s">
        <v>368</v>
      </c>
      <c r="AB6" s="123" t="s">
        <v>506</v>
      </c>
      <c r="AC6" s="133">
        <v>7.0000000000000007E-2</v>
      </c>
      <c r="AD6" s="124">
        <v>-0.1</v>
      </c>
      <c r="AE6" s="137"/>
      <c r="AF6" s="144">
        <v>5</v>
      </c>
      <c r="AG6" s="109" t="str">
        <f>IF(DCL20Rate&lt;&gt;"No Rates",AH6,"")</f>
        <v>DCL 20'</v>
      </c>
      <c r="AH6" s="294" t="s">
        <v>340</v>
      </c>
      <c r="AI6" s="110">
        <v>47500</v>
      </c>
      <c r="AJ6" s="110">
        <v>1000</v>
      </c>
      <c r="AK6" s="111">
        <v>612</v>
      </c>
      <c r="AM6" s="126" t="s">
        <v>613</v>
      </c>
      <c r="AN6" s="113"/>
      <c r="AO6" s="339">
        <v>1002589</v>
      </c>
      <c r="AP6" s="339" t="s">
        <v>384</v>
      </c>
      <c r="AQ6" s="340"/>
      <c r="AR6" s="113"/>
      <c r="AS6" s="126" t="str">
        <f>IF(AS10="N","","LC + 90 DAYS")</f>
        <v/>
      </c>
      <c r="AT6" s="113"/>
      <c r="AU6" s="113"/>
      <c r="AV6" s="113">
        <v>5</v>
      </c>
      <c r="AW6" s="127" t="s">
        <v>226</v>
      </c>
      <c r="AX6" s="334">
        <f>1/9.087</f>
        <v>0.11004732034774954</v>
      </c>
      <c r="AY6" s="113"/>
      <c r="AZ6" s="113"/>
      <c r="BA6" s="113"/>
      <c r="BB6" s="112" t="s">
        <v>409</v>
      </c>
      <c r="BC6" s="148"/>
      <c r="BD6" s="310" t="s">
        <v>979</v>
      </c>
    </row>
    <row r="7" spans="1:56" x14ac:dyDescent="0.2">
      <c r="A7" s="220" t="s">
        <v>559</v>
      </c>
      <c r="B7" s="426"/>
      <c r="C7" s="427"/>
      <c r="D7" s="145" t="s">
        <v>24</v>
      </c>
      <c r="E7" s="530"/>
      <c r="F7" s="531"/>
      <c r="G7" s="532"/>
      <c r="H7" s="146"/>
      <c r="I7" s="146"/>
      <c r="J7" s="147" t="s">
        <v>201</v>
      </c>
      <c r="K7" s="45"/>
      <c r="L7" s="46"/>
      <c r="M7" s="46"/>
      <c r="N7" s="45"/>
      <c r="O7" s="46"/>
      <c r="P7" s="47"/>
      <c r="R7" s="122">
        <v>5</v>
      </c>
      <c r="S7" s="132" t="s">
        <v>350</v>
      </c>
      <c r="T7" s="132" t="s">
        <v>236</v>
      </c>
      <c r="U7" s="316">
        <v>1.8813045000000002</v>
      </c>
      <c r="V7" s="316">
        <v>2.8660871999999999</v>
      </c>
      <c r="W7" s="126" t="s">
        <v>368</v>
      </c>
      <c r="X7" s="316">
        <v>2.2670000000000003</v>
      </c>
      <c r="Y7" s="316">
        <v>2.8640000000000003</v>
      </c>
      <c r="Z7" s="315">
        <v>3.4313045000000004</v>
      </c>
      <c r="AA7" s="315">
        <v>3.7170000000000005</v>
      </c>
      <c r="AB7" s="123" t="s">
        <v>506</v>
      </c>
      <c r="AC7" s="133">
        <v>7.0000000000000007E-2</v>
      </c>
      <c r="AD7" s="124">
        <v>-0.1</v>
      </c>
      <c r="AE7" s="125"/>
      <c r="AF7" s="144">
        <v>6</v>
      </c>
      <c r="AG7" s="134" t="str">
        <f>IF(ReeferDirect40Rate&lt;&gt;"No Rates",AH7,"")</f>
        <v>Reefer (Direct)</v>
      </c>
      <c r="AH7" s="294" t="s">
        <v>470</v>
      </c>
      <c r="AI7" s="110">
        <v>43890</v>
      </c>
      <c r="AJ7" s="110">
        <v>2000</v>
      </c>
      <c r="AK7" s="297"/>
      <c r="AL7" s="125"/>
      <c r="AM7" s="126" t="s">
        <v>615</v>
      </c>
      <c r="AN7" s="113"/>
      <c r="AO7" s="339">
        <v>5000713</v>
      </c>
      <c r="AP7" s="339" t="s">
        <v>384</v>
      </c>
      <c r="AQ7" s="340"/>
      <c r="AR7" s="113"/>
      <c r="AS7" s="112"/>
      <c r="AT7" s="113"/>
      <c r="AU7" s="113"/>
      <c r="AV7" s="113">
        <v>6</v>
      </c>
      <c r="AW7" s="127" t="s">
        <v>223</v>
      </c>
      <c r="AX7" s="334">
        <v>0.11772323267996938</v>
      </c>
      <c r="AY7" s="113"/>
      <c r="AZ7" s="113"/>
      <c r="BA7" s="113"/>
      <c r="BB7" s="112" t="s">
        <v>410</v>
      </c>
      <c r="BC7" s="148"/>
      <c r="BD7" s="310" t="s">
        <v>980</v>
      </c>
    </row>
    <row r="8" spans="1:56" ht="14.25" customHeight="1" thickBot="1" x14ac:dyDescent="0.25">
      <c r="A8" s="418" t="s">
        <v>558</v>
      </c>
      <c r="B8" s="519"/>
      <c r="C8" s="520"/>
      <c r="D8" s="419" t="s">
        <v>28</v>
      </c>
      <c r="E8" s="519"/>
      <c r="F8" s="526"/>
      <c r="G8" s="520"/>
      <c r="H8" s="148"/>
      <c r="J8" s="149" t="s">
        <v>202</v>
      </c>
      <c r="K8" s="45"/>
      <c r="L8" s="48"/>
      <c r="M8" s="48"/>
      <c r="N8" s="45"/>
      <c r="O8" s="48"/>
      <c r="P8" s="52"/>
      <c r="R8" s="122">
        <v>6</v>
      </c>
      <c r="S8" s="286" t="s">
        <v>351</v>
      </c>
      <c r="T8" s="132" t="s">
        <v>71</v>
      </c>
      <c r="U8" s="316">
        <v>1.87</v>
      </c>
      <c r="V8" s="316">
        <v>3.04</v>
      </c>
      <c r="W8" s="315" t="s">
        <v>368</v>
      </c>
      <c r="X8" s="316">
        <v>2.82</v>
      </c>
      <c r="Y8" s="316">
        <v>3.67</v>
      </c>
      <c r="Z8" s="315">
        <v>3.42</v>
      </c>
      <c r="AA8" s="315">
        <v>4.2699999999999996</v>
      </c>
      <c r="AB8" s="123" t="s">
        <v>506</v>
      </c>
      <c r="AC8" s="133">
        <v>7.0000000000000007E-2</v>
      </c>
      <c r="AD8" s="124">
        <v>-0.1</v>
      </c>
      <c r="AE8" s="125"/>
      <c r="AF8" s="144">
        <v>7</v>
      </c>
      <c r="AG8" s="277" t="str">
        <f>IF(ReeferDCL40Rate&lt;&gt;"No Rates",AH8,"")</f>
        <v>Reefer (DCL)</v>
      </c>
      <c r="AH8" s="294" t="s">
        <v>471</v>
      </c>
      <c r="AI8" s="110">
        <v>43890</v>
      </c>
      <c r="AJ8" s="110">
        <v>2000</v>
      </c>
      <c r="AK8" s="125"/>
      <c r="AL8" s="125"/>
      <c r="AM8" s="126" t="s">
        <v>616</v>
      </c>
      <c r="AN8" s="113"/>
      <c r="AO8" s="339">
        <v>266500</v>
      </c>
      <c r="AP8" s="339" t="s">
        <v>588</v>
      </c>
      <c r="AQ8" s="340" t="s">
        <v>678</v>
      </c>
      <c r="AR8" s="113"/>
      <c r="AT8" s="113"/>
      <c r="AU8" s="113"/>
      <c r="AV8" s="113">
        <v>7</v>
      </c>
      <c r="AW8" s="127" t="s">
        <v>224</v>
      </c>
      <c r="AX8" s="334">
        <v>0.17902859086596129</v>
      </c>
      <c r="AY8" s="113"/>
      <c r="AZ8" s="113"/>
      <c r="BA8" s="113"/>
      <c r="BB8" s="112" t="s">
        <v>411</v>
      </c>
      <c r="BC8" s="148"/>
      <c r="BD8" s="310" t="s">
        <v>981</v>
      </c>
    </row>
    <row r="9" spans="1:56" ht="14.25" customHeight="1" thickBot="1" x14ac:dyDescent="0.25">
      <c r="A9" s="418"/>
      <c r="B9" s="420"/>
      <c r="C9" s="422"/>
      <c r="D9" s="419"/>
      <c r="E9" s="420"/>
      <c r="F9" s="421"/>
      <c r="G9" s="422"/>
      <c r="J9" s="149" t="s">
        <v>203</v>
      </c>
      <c r="K9" s="45"/>
      <c r="L9" s="48"/>
      <c r="M9" s="48"/>
      <c r="N9" s="45"/>
      <c r="O9" s="48"/>
      <c r="P9" s="52"/>
      <c r="R9" s="126">
        <v>7</v>
      </c>
      <c r="S9" s="286" t="s">
        <v>351</v>
      </c>
      <c r="T9" s="132" t="s">
        <v>508</v>
      </c>
      <c r="U9" s="316">
        <v>2.59</v>
      </c>
      <c r="V9" s="316">
        <v>4.4000000000000004</v>
      </c>
      <c r="W9" s="315" t="s">
        <v>368</v>
      </c>
      <c r="X9" s="316">
        <v>3.24</v>
      </c>
      <c r="Y9" s="316">
        <v>4.17</v>
      </c>
      <c r="Z9" s="315" t="s">
        <v>368</v>
      </c>
      <c r="AA9" s="315" t="s">
        <v>368</v>
      </c>
      <c r="AB9" s="123" t="s">
        <v>506</v>
      </c>
      <c r="AC9" s="133">
        <v>7.0000000000000007E-2</v>
      </c>
      <c r="AD9" s="124">
        <v>-0.1</v>
      </c>
      <c r="AE9" s="137"/>
      <c r="AF9" s="125"/>
      <c r="AG9" s="125"/>
      <c r="AH9" s="125"/>
      <c r="AI9" s="125"/>
      <c r="AJ9" s="125"/>
      <c r="AK9" s="125"/>
      <c r="AL9" s="125"/>
      <c r="AM9" s="126" t="s">
        <v>618</v>
      </c>
      <c r="AN9" s="113"/>
      <c r="AO9" s="339">
        <v>5000053</v>
      </c>
      <c r="AP9" s="339" t="s">
        <v>588</v>
      </c>
      <c r="AQ9" s="340" t="s">
        <v>678</v>
      </c>
      <c r="AR9" s="113"/>
      <c r="AS9" s="125"/>
      <c r="AT9" s="113"/>
      <c r="AU9" s="113"/>
      <c r="AV9" s="113">
        <v>8</v>
      </c>
      <c r="AW9" s="150" t="s">
        <v>317</v>
      </c>
      <c r="AX9" s="335">
        <v>0.94701999999999997</v>
      </c>
      <c r="AY9" s="113"/>
      <c r="AZ9" s="113"/>
      <c r="BA9" s="113"/>
      <c r="BB9" s="112" t="s">
        <v>602</v>
      </c>
      <c r="BC9" s="148"/>
      <c r="BD9" s="310" t="s">
        <v>1002</v>
      </c>
    </row>
    <row r="10" spans="1:56" ht="13.5" thickBot="1" x14ac:dyDescent="0.25">
      <c r="A10" s="220" t="s">
        <v>13</v>
      </c>
      <c r="B10" s="426"/>
      <c r="C10" s="427"/>
      <c r="D10" s="151" t="s">
        <v>13</v>
      </c>
      <c r="E10" s="420"/>
      <c r="F10" s="421"/>
      <c r="G10" s="422"/>
      <c r="J10" s="152" t="s">
        <v>204</v>
      </c>
      <c r="K10" s="49"/>
      <c r="L10" s="50"/>
      <c r="M10" s="50"/>
      <c r="N10" s="49"/>
      <c r="O10" s="50"/>
      <c r="P10" s="51"/>
      <c r="R10" s="126">
        <v>8</v>
      </c>
      <c r="S10" s="286" t="s">
        <v>351</v>
      </c>
      <c r="T10" s="132" t="s">
        <v>509</v>
      </c>
      <c r="U10" s="316">
        <v>2.13</v>
      </c>
      <c r="V10" s="316">
        <v>3.45</v>
      </c>
      <c r="W10" s="315" t="s">
        <v>368</v>
      </c>
      <c r="X10" s="316">
        <v>3.12</v>
      </c>
      <c r="Y10" s="316">
        <v>3.98</v>
      </c>
      <c r="Z10" s="315">
        <v>3.6799999999999997</v>
      </c>
      <c r="AA10" s="315">
        <v>4.57</v>
      </c>
      <c r="AB10" s="123" t="s">
        <v>506</v>
      </c>
      <c r="AC10" s="133">
        <v>7.0000000000000007E-2</v>
      </c>
      <c r="AD10" s="124">
        <v>-0.1</v>
      </c>
      <c r="AE10" s="137"/>
      <c r="AF10" s="125" t="s">
        <v>365</v>
      </c>
      <c r="AH10" s="125"/>
      <c r="AI10" s="125"/>
      <c r="AJ10" s="125"/>
      <c r="AK10" s="125"/>
      <c r="AL10" s="125"/>
      <c r="AM10" s="126" t="s">
        <v>619</v>
      </c>
      <c r="AN10" s="113"/>
      <c r="AO10" s="339">
        <v>1006204</v>
      </c>
      <c r="AP10" s="339" t="s">
        <v>320</v>
      </c>
      <c r="AQ10" s="340"/>
      <c r="AR10" s="113" t="s">
        <v>505</v>
      </c>
      <c r="AS10" s="305" t="str">
        <f>AB2</f>
        <v>N</v>
      </c>
      <c r="AT10" s="113"/>
      <c r="AU10" s="113"/>
      <c r="AV10" s="113"/>
      <c r="AW10" s="113"/>
      <c r="AX10" s="113"/>
      <c r="AY10" s="113"/>
      <c r="AZ10" s="113"/>
      <c r="BA10" s="113"/>
      <c r="BB10" s="112" t="s">
        <v>412</v>
      </c>
      <c r="BC10" s="148"/>
      <c r="BD10" s="310" t="s">
        <v>982</v>
      </c>
    </row>
    <row r="11" spans="1:56" ht="13.5" thickBot="1" x14ac:dyDescent="0.25">
      <c r="A11" s="220" t="s">
        <v>14</v>
      </c>
      <c r="B11" s="426"/>
      <c r="C11" s="427"/>
      <c r="D11" s="151" t="s">
        <v>14</v>
      </c>
      <c r="E11" s="420"/>
      <c r="F11" s="421"/>
      <c r="G11" s="422"/>
      <c r="R11" s="126">
        <v>9</v>
      </c>
      <c r="S11" s="286" t="s">
        <v>351</v>
      </c>
      <c r="T11" s="132" t="s">
        <v>510</v>
      </c>
      <c r="U11" s="316">
        <v>2.19</v>
      </c>
      <c r="V11" s="316">
        <v>3.55</v>
      </c>
      <c r="W11" s="315" t="s">
        <v>368</v>
      </c>
      <c r="X11" s="316">
        <v>3.15</v>
      </c>
      <c r="Y11" s="316">
        <v>4.03</v>
      </c>
      <c r="Z11" s="315">
        <v>3.74</v>
      </c>
      <c r="AA11" s="315">
        <v>4.5999999999999996</v>
      </c>
      <c r="AB11" s="123" t="s">
        <v>506</v>
      </c>
      <c r="AC11" s="133">
        <v>7.0000000000000007E-2</v>
      </c>
      <c r="AD11" s="124">
        <v>-0.1</v>
      </c>
      <c r="AE11" s="137"/>
      <c r="AF11" s="153" t="s">
        <v>367</v>
      </c>
      <c r="AG11" s="153" t="s">
        <v>37</v>
      </c>
      <c r="AK11" s="125"/>
      <c r="AL11" s="125"/>
      <c r="AM11" s="126" t="s">
        <v>620</v>
      </c>
      <c r="AN11" s="113"/>
      <c r="AO11" s="339">
        <v>576270</v>
      </c>
      <c r="AP11" s="339" t="s">
        <v>158</v>
      </c>
      <c r="AQ11" s="340"/>
      <c r="AR11" s="113"/>
      <c r="AS11" s="125"/>
      <c r="AT11" s="113"/>
      <c r="AU11" s="113"/>
      <c r="AV11" s="113"/>
      <c r="AW11" s="113"/>
      <c r="AX11" s="113"/>
      <c r="AY11" s="113"/>
      <c r="AZ11" s="113"/>
      <c r="BA11" s="113"/>
      <c r="BB11" s="112" t="s">
        <v>413</v>
      </c>
      <c r="BC11" s="148"/>
      <c r="BD11" s="310" t="s">
        <v>983</v>
      </c>
    </row>
    <row r="12" spans="1:56" ht="14.25" customHeight="1" thickBot="1" x14ac:dyDescent="0.25">
      <c r="A12" s="220" t="s">
        <v>15</v>
      </c>
      <c r="B12" s="426"/>
      <c r="C12" s="427"/>
      <c r="D12" s="151" t="s">
        <v>15</v>
      </c>
      <c r="E12" s="420"/>
      <c r="F12" s="421"/>
      <c r="G12" s="422"/>
      <c r="J12" s="491" t="s">
        <v>20</v>
      </c>
      <c r="K12" s="492"/>
      <c r="L12" s="493"/>
      <c r="M12" s="512"/>
      <c r="N12" s="513"/>
      <c r="O12" s="155"/>
      <c r="P12" s="156"/>
      <c r="R12" s="122">
        <v>10</v>
      </c>
      <c r="S12" s="286" t="s">
        <v>351</v>
      </c>
      <c r="T12" s="132" t="s">
        <v>82</v>
      </c>
      <c r="U12" s="316">
        <v>1.8800000000000001</v>
      </c>
      <c r="V12" s="316">
        <v>3.05</v>
      </c>
      <c r="W12" s="315" t="s">
        <v>368</v>
      </c>
      <c r="X12" s="316">
        <v>3.06</v>
      </c>
      <c r="Y12" s="316">
        <v>3.89</v>
      </c>
      <c r="Z12" s="315">
        <v>3.43</v>
      </c>
      <c r="AA12" s="315">
        <v>4.51</v>
      </c>
      <c r="AB12" s="123" t="s">
        <v>506</v>
      </c>
      <c r="AC12" s="133">
        <v>7.0000000000000007E-2</v>
      </c>
      <c r="AD12" s="124">
        <v>-0.1</v>
      </c>
      <c r="AE12" s="137"/>
      <c r="AF12" s="154">
        <v>1</v>
      </c>
      <c r="AG12" s="154" t="s">
        <v>366</v>
      </c>
      <c r="AK12" s="157"/>
      <c r="AL12" s="125"/>
      <c r="AM12" s="126" t="s">
        <v>621</v>
      </c>
      <c r="AN12" s="113"/>
      <c r="AO12" s="339">
        <v>1006813</v>
      </c>
      <c r="AP12" s="339" t="s">
        <v>183</v>
      </c>
      <c r="AQ12" s="340"/>
      <c r="AR12" s="113"/>
      <c r="AS12" s="113"/>
      <c r="AT12" s="113"/>
      <c r="AU12" s="113"/>
      <c r="AV12" s="113"/>
      <c r="AW12" s="113"/>
      <c r="AX12" s="113"/>
      <c r="AY12" s="113"/>
      <c r="AZ12" s="113"/>
      <c r="BA12" s="113"/>
      <c r="BB12" s="112" t="s">
        <v>414</v>
      </c>
      <c r="BC12" s="148"/>
      <c r="BD12" s="310" t="s">
        <v>984</v>
      </c>
    </row>
    <row r="13" spans="1:56" ht="14.25" customHeight="1" thickBot="1" x14ac:dyDescent="0.25">
      <c r="A13" s="220" t="s">
        <v>16</v>
      </c>
      <c r="B13" s="426"/>
      <c r="C13" s="427"/>
      <c r="D13" s="151" t="s">
        <v>16</v>
      </c>
      <c r="E13" s="420"/>
      <c r="F13" s="421"/>
      <c r="G13" s="422"/>
      <c r="J13" s="494" t="s">
        <v>91</v>
      </c>
      <c r="K13" s="495"/>
      <c r="L13" s="496"/>
      <c r="M13" s="500"/>
      <c r="N13" s="501"/>
      <c r="O13" s="158"/>
      <c r="P13" s="156"/>
      <c r="R13" s="126">
        <v>11</v>
      </c>
      <c r="S13" s="286" t="s">
        <v>350</v>
      </c>
      <c r="T13" s="132" t="s">
        <v>231</v>
      </c>
      <c r="U13" s="316">
        <v>2.1914425000000004</v>
      </c>
      <c r="V13" s="316">
        <v>3.3623080000000005</v>
      </c>
      <c r="W13" s="126" t="s">
        <v>368</v>
      </c>
      <c r="X13" s="316">
        <v>2.5720000000000001</v>
      </c>
      <c r="Y13" s="316">
        <v>3.3520000000000003</v>
      </c>
      <c r="Z13" s="315">
        <v>3.7414425000000007</v>
      </c>
      <c r="AA13" s="315">
        <v>4.0220000000000002</v>
      </c>
      <c r="AB13" s="123" t="s">
        <v>506</v>
      </c>
      <c r="AC13" s="133">
        <v>7.0000000000000007E-2</v>
      </c>
      <c r="AD13" s="124">
        <v>-0.1</v>
      </c>
      <c r="AE13" s="137"/>
      <c r="AF13" s="154">
        <v>2</v>
      </c>
      <c r="AG13" s="154" t="s">
        <v>364</v>
      </c>
      <c r="AJ13" s="172" t="b">
        <v>0</v>
      </c>
      <c r="AK13" s="292" t="s">
        <v>446</v>
      </c>
      <c r="AL13" s="125"/>
      <c r="AM13" s="126" t="s">
        <v>622</v>
      </c>
      <c r="AN13" s="113"/>
      <c r="AO13" s="339">
        <v>1010081</v>
      </c>
      <c r="AP13" s="339" t="s">
        <v>195</v>
      </c>
      <c r="AQ13" s="340"/>
      <c r="AR13" s="113"/>
      <c r="AS13" s="113"/>
      <c r="AT13" s="113"/>
      <c r="AU13" s="113"/>
      <c r="AV13" s="113"/>
      <c r="AW13" s="113"/>
      <c r="AX13" s="113"/>
      <c r="AY13" s="113"/>
      <c r="AZ13" s="113"/>
      <c r="BA13" s="113"/>
      <c r="BB13" s="112" t="s">
        <v>415</v>
      </c>
      <c r="BC13" s="148"/>
      <c r="BD13" s="310" t="s">
        <v>985</v>
      </c>
    </row>
    <row r="14" spans="1:56" ht="14.25" customHeight="1" thickBot="1" x14ac:dyDescent="0.25">
      <c r="A14" s="221" t="s">
        <v>17</v>
      </c>
      <c r="B14" s="428"/>
      <c r="C14" s="429"/>
      <c r="D14" s="159" t="s">
        <v>17</v>
      </c>
      <c r="E14" s="423"/>
      <c r="F14" s="424"/>
      <c r="G14" s="425"/>
      <c r="J14" s="497" t="s">
        <v>92</v>
      </c>
      <c r="K14" s="498"/>
      <c r="L14" s="499"/>
      <c r="M14" s="486"/>
      <c r="N14" s="487"/>
      <c r="O14" s="158"/>
      <c r="P14" s="128"/>
      <c r="R14" s="126">
        <v>12</v>
      </c>
      <c r="S14" s="132" t="s">
        <v>352</v>
      </c>
      <c r="T14" s="132" t="s">
        <v>332</v>
      </c>
      <c r="U14" s="316">
        <v>3.14</v>
      </c>
      <c r="V14" s="316">
        <v>4.879999999999999</v>
      </c>
      <c r="W14" s="315" t="s">
        <v>368</v>
      </c>
      <c r="X14" s="317">
        <v>3.85</v>
      </c>
      <c r="Y14" s="317">
        <v>5.4299999999999988</v>
      </c>
      <c r="Z14" s="315" t="s">
        <v>368</v>
      </c>
      <c r="AA14" s="315" t="s">
        <v>368</v>
      </c>
      <c r="AB14" s="123" t="s">
        <v>506</v>
      </c>
      <c r="AC14" s="133">
        <v>7.0000000000000007E-2</v>
      </c>
      <c r="AD14" s="124">
        <v>-0.1</v>
      </c>
      <c r="AE14" s="137"/>
      <c r="AL14" s="125"/>
      <c r="AM14" s="126" t="s">
        <v>623</v>
      </c>
      <c r="AN14" s="113"/>
      <c r="AO14" s="339">
        <v>1001521</v>
      </c>
      <c r="AP14" s="339" t="s">
        <v>589</v>
      </c>
      <c r="AQ14" s="340" t="s">
        <v>678</v>
      </c>
      <c r="AR14" s="113"/>
      <c r="AS14" s="113"/>
      <c r="AT14" s="113"/>
      <c r="AU14" s="113"/>
      <c r="AV14" s="113"/>
      <c r="AW14" s="113"/>
      <c r="AX14" s="113"/>
      <c r="AY14" s="113"/>
      <c r="AZ14" s="113"/>
      <c r="BA14" s="113"/>
      <c r="BB14" s="112" t="s">
        <v>416</v>
      </c>
      <c r="BC14" s="148"/>
      <c r="BD14" s="310" t="s">
        <v>986</v>
      </c>
    </row>
    <row r="15" spans="1:56" ht="13.5" thickBot="1" x14ac:dyDescent="0.25">
      <c r="R15" s="126">
        <v>13</v>
      </c>
      <c r="S15" s="132" t="s">
        <v>352</v>
      </c>
      <c r="T15" s="132" t="s">
        <v>124</v>
      </c>
      <c r="U15" s="316">
        <v>3.14</v>
      </c>
      <c r="V15" s="316">
        <v>4.879999999999999</v>
      </c>
      <c r="W15" s="315" t="s">
        <v>368</v>
      </c>
      <c r="X15" s="317">
        <v>3.85</v>
      </c>
      <c r="Y15" s="317">
        <v>5.4299999999999988</v>
      </c>
      <c r="Z15" s="315">
        <v>4.6900000000000004</v>
      </c>
      <c r="AA15" s="315">
        <v>5.3</v>
      </c>
      <c r="AB15" s="123" t="s">
        <v>506</v>
      </c>
      <c r="AC15" s="133">
        <v>7.0000000000000007E-2</v>
      </c>
      <c r="AD15" s="124">
        <v>-0.1</v>
      </c>
      <c r="AE15" s="137"/>
      <c r="AG15" s="126" t="s">
        <v>371</v>
      </c>
      <c r="AH15" s="160" t="str">
        <f>T2</f>
        <v>China, Yantian/Shenzhen/Shekou/Chiwan</v>
      </c>
      <c r="AJ15" s="116">
        <v>29</v>
      </c>
      <c r="AK15" s="161" t="s">
        <v>36</v>
      </c>
      <c r="AL15" s="125"/>
      <c r="AM15" s="126" t="s">
        <v>624</v>
      </c>
      <c r="AN15" s="113"/>
      <c r="AO15" s="339">
        <v>1006053</v>
      </c>
      <c r="AP15" s="339" t="s">
        <v>179</v>
      </c>
      <c r="AQ15" s="340"/>
      <c r="AR15" s="113"/>
      <c r="AS15" s="113"/>
      <c r="AU15" s="113"/>
      <c r="AV15" s="113"/>
      <c r="AW15" s="113"/>
      <c r="AX15" s="113"/>
      <c r="AY15" s="113"/>
      <c r="AZ15" s="113"/>
      <c r="BA15" s="113"/>
      <c r="BB15" s="112" t="s">
        <v>417</v>
      </c>
      <c r="BC15" s="148"/>
      <c r="BD15" s="310" t="s">
        <v>987</v>
      </c>
    </row>
    <row r="16" spans="1:56" ht="13.5" thickBot="1" x14ac:dyDescent="0.25">
      <c r="A16" s="164" t="s">
        <v>93</v>
      </c>
      <c r="B16" s="436"/>
      <c r="C16" s="437"/>
      <c r="D16" s="437"/>
      <c r="E16" s="437"/>
      <c r="F16" s="437"/>
      <c r="G16" s="438"/>
      <c r="H16" s="439" t="s">
        <v>27</v>
      </c>
      <c r="I16" s="439"/>
      <c r="J16" s="440"/>
      <c r="K16" s="454" t="s">
        <v>30</v>
      </c>
      <c r="L16" s="455"/>
      <c r="M16" s="455"/>
      <c r="N16" s="455"/>
      <c r="O16" s="455"/>
      <c r="P16" s="456"/>
      <c r="R16" s="122">
        <v>14</v>
      </c>
      <c r="S16" s="132" t="s">
        <v>351</v>
      </c>
      <c r="T16" s="132" t="s">
        <v>511</v>
      </c>
      <c r="U16" s="316">
        <v>2.13</v>
      </c>
      <c r="V16" s="316">
        <v>3.46</v>
      </c>
      <c r="W16" s="315" t="s">
        <v>368</v>
      </c>
      <c r="X16" s="317">
        <v>3.37</v>
      </c>
      <c r="Y16" s="317">
        <v>4.38</v>
      </c>
      <c r="Z16" s="315">
        <v>3.6799999999999997</v>
      </c>
      <c r="AA16" s="315">
        <v>4.82</v>
      </c>
      <c r="AB16" s="123" t="s">
        <v>506</v>
      </c>
      <c r="AC16" s="133">
        <v>7.0000000000000007E-2</v>
      </c>
      <c r="AD16" s="124">
        <v>-0.1</v>
      </c>
      <c r="AE16" s="137"/>
      <c r="AG16" s="126" t="s">
        <v>37</v>
      </c>
      <c r="AH16" s="162" t="str">
        <f>VLOOKUP(RateSeq,$AF$2:$AI$9,2,FALSE)</f>
        <v>FCL - 40'/40H/45'</v>
      </c>
      <c r="AJ16" s="116">
        <v>1</v>
      </c>
      <c r="AK16" s="163" t="s">
        <v>38</v>
      </c>
      <c r="AL16" s="125"/>
      <c r="AM16" s="126" t="s">
        <v>625</v>
      </c>
      <c r="AN16" s="113"/>
      <c r="AO16" s="339">
        <v>1009615</v>
      </c>
      <c r="AP16" s="339" t="s">
        <v>590</v>
      </c>
      <c r="AQ16" s="340" t="s">
        <v>678</v>
      </c>
      <c r="AR16" s="113"/>
      <c r="AS16" s="113"/>
      <c r="AU16" s="113"/>
      <c r="AV16" s="113"/>
      <c r="AW16" s="113"/>
      <c r="AX16" s="113"/>
      <c r="AY16" s="113"/>
      <c r="AZ16" s="113"/>
      <c r="BA16" s="113"/>
      <c r="BB16" s="112" t="s">
        <v>603</v>
      </c>
      <c r="BC16" s="148"/>
      <c r="BD16" s="310" t="s">
        <v>988</v>
      </c>
    </row>
    <row r="17" spans="1:63" ht="18.75" customHeight="1" thickBot="1" x14ac:dyDescent="0.25">
      <c r="A17" s="470" t="s">
        <v>462</v>
      </c>
      <c r="B17" s="471"/>
      <c r="C17" s="472"/>
      <c r="D17" s="472"/>
      <c r="E17" s="472"/>
      <c r="F17" s="472"/>
      <c r="G17" s="473"/>
      <c r="H17" s="248" t="s">
        <v>101</v>
      </c>
      <c r="I17" s="463"/>
      <c r="J17" s="464"/>
      <c r="K17" s="337" t="s">
        <v>98</v>
      </c>
      <c r="L17" s="167"/>
      <c r="M17" s="395"/>
      <c r="N17" s="396"/>
      <c r="O17" s="396"/>
      <c r="P17" s="397"/>
      <c r="R17" s="122">
        <v>15</v>
      </c>
      <c r="S17" s="132" t="s">
        <v>351</v>
      </c>
      <c r="T17" s="132" t="s">
        <v>512</v>
      </c>
      <c r="U17" s="316">
        <v>2.64</v>
      </c>
      <c r="V17" s="316">
        <v>4.28</v>
      </c>
      <c r="W17" s="315" t="s">
        <v>368</v>
      </c>
      <c r="X17" s="317">
        <v>3.77</v>
      </c>
      <c r="Y17" s="317">
        <v>5.0200000000000005</v>
      </c>
      <c r="Z17" s="315" t="s">
        <v>368</v>
      </c>
      <c r="AA17" s="315" t="s">
        <v>368</v>
      </c>
      <c r="AB17" s="123" t="s">
        <v>506</v>
      </c>
      <c r="AC17" s="133">
        <v>7.0000000000000007E-2</v>
      </c>
      <c r="AD17" s="124">
        <v>-0.1</v>
      </c>
      <c r="AE17" s="137"/>
      <c r="AG17" s="126" t="s">
        <v>365</v>
      </c>
      <c r="AH17" s="165" t="str">
        <f>VLOOKUP(FoodSeq,$AF$12:$AG$13,2,FALSE)</f>
        <v>Non-Food</v>
      </c>
      <c r="AJ17" s="116">
        <v>1</v>
      </c>
      <c r="AK17" s="166" t="s">
        <v>367</v>
      </c>
      <c r="AL17" s="125"/>
      <c r="AM17" s="126" t="s">
        <v>626</v>
      </c>
      <c r="AN17" s="113"/>
      <c r="AO17" s="339">
        <v>350010</v>
      </c>
      <c r="AP17" s="339" t="s">
        <v>154</v>
      </c>
      <c r="AQ17" s="340"/>
      <c r="AR17" s="113"/>
      <c r="AS17" s="113"/>
      <c r="AU17" s="113"/>
      <c r="AV17" s="113"/>
      <c r="AW17" s="113"/>
      <c r="AX17" s="113"/>
      <c r="AY17" s="113"/>
      <c r="AZ17" s="113"/>
      <c r="BA17" s="113"/>
      <c r="BB17" s="112" t="s">
        <v>604</v>
      </c>
      <c r="BC17" s="148"/>
      <c r="BD17" s="310" t="s">
        <v>989</v>
      </c>
    </row>
    <row r="18" spans="1:63" ht="16.5" customHeight="1" thickBot="1" x14ac:dyDescent="0.25">
      <c r="A18" s="470"/>
      <c r="B18" s="471"/>
      <c r="C18" s="472"/>
      <c r="D18" s="472"/>
      <c r="E18" s="472"/>
      <c r="F18" s="472"/>
      <c r="G18" s="473"/>
      <c r="H18" s="249"/>
      <c r="I18" s="465"/>
      <c r="J18" s="466"/>
      <c r="K18" s="338" t="s">
        <v>99</v>
      </c>
      <c r="L18" s="170"/>
      <c r="M18" s="398"/>
      <c r="N18" s="398"/>
      <c r="O18" s="398"/>
      <c r="P18" s="399"/>
      <c r="R18" s="126">
        <v>16</v>
      </c>
      <c r="S18" s="132" t="s">
        <v>352</v>
      </c>
      <c r="T18" s="132" t="s">
        <v>46</v>
      </c>
      <c r="U18" s="316">
        <v>2.98</v>
      </c>
      <c r="V18" s="316">
        <v>4.6239999999999988</v>
      </c>
      <c r="W18" s="315" t="s">
        <v>368</v>
      </c>
      <c r="X18" s="317">
        <v>3.69</v>
      </c>
      <c r="Y18" s="317">
        <v>5.1739999999999986</v>
      </c>
      <c r="Z18" s="315">
        <v>4.53</v>
      </c>
      <c r="AA18" s="315">
        <v>5.14</v>
      </c>
      <c r="AB18" s="123" t="s">
        <v>506</v>
      </c>
      <c r="AC18" s="133">
        <v>7.0000000000000007E-2</v>
      </c>
      <c r="AD18" s="124">
        <v>-0.1</v>
      </c>
      <c r="AE18" s="137"/>
      <c r="AG18" s="168" t="s">
        <v>376</v>
      </c>
      <c r="AH18" s="169">
        <f>VLOOKUP(PortSeq,$R$1:$AD$645,RateSeq+3,FALSE)</f>
        <v>2.92</v>
      </c>
      <c r="AL18" s="125"/>
      <c r="AM18" s="126" t="s">
        <v>627</v>
      </c>
      <c r="AN18" s="113"/>
      <c r="AO18" s="339">
        <v>191730</v>
      </c>
      <c r="AP18" s="339" t="s">
        <v>679</v>
      </c>
      <c r="AQ18" s="340"/>
      <c r="AR18" s="113"/>
      <c r="AS18" s="113"/>
      <c r="AU18" s="113"/>
      <c r="AV18" s="113"/>
      <c r="AW18" s="113"/>
      <c r="AX18" s="113"/>
      <c r="AY18" s="113"/>
      <c r="AZ18" s="113"/>
      <c r="BA18" s="113"/>
      <c r="BB18" s="112" t="s">
        <v>605</v>
      </c>
      <c r="BC18" s="148"/>
      <c r="BD18" s="310" t="s">
        <v>990</v>
      </c>
    </row>
    <row r="19" spans="1:63" ht="13.5" thickBot="1" x14ac:dyDescent="0.25">
      <c r="A19" s="253" t="s">
        <v>463</v>
      </c>
      <c r="B19" s="474"/>
      <c r="C19" s="475"/>
      <c r="D19" s="475"/>
      <c r="E19" s="475"/>
      <c r="F19" s="475"/>
      <c r="G19" s="476"/>
      <c r="H19" s="246" t="s">
        <v>102</v>
      </c>
      <c r="I19" s="246"/>
      <c r="J19" s="247"/>
      <c r="K19" s="312"/>
      <c r="L19" s="311"/>
      <c r="M19" s="416"/>
      <c r="N19" s="416"/>
      <c r="O19" s="416"/>
      <c r="P19" s="417"/>
      <c r="R19" s="126">
        <v>17</v>
      </c>
      <c r="S19" s="132" t="s">
        <v>352</v>
      </c>
      <c r="T19" s="132" t="s">
        <v>47</v>
      </c>
      <c r="U19" s="316">
        <v>2.98</v>
      </c>
      <c r="V19" s="316">
        <v>4.6239999999999988</v>
      </c>
      <c r="W19" s="315" t="s">
        <v>368</v>
      </c>
      <c r="X19" s="317">
        <v>3.69</v>
      </c>
      <c r="Y19" s="317">
        <v>5.1739999999999986</v>
      </c>
      <c r="Z19" s="315">
        <v>4.53</v>
      </c>
      <c r="AA19" s="315">
        <v>5.14</v>
      </c>
      <c r="AB19" s="123" t="s">
        <v>506</v>
      </c>
      <c r="AC19" s="133">
        <v>7.0000000000000007E-2</v>
      </c>
      <c r="AD19" s="124">
        <v>-0.1</v>
      </c>
      <c r="AE19" s="137"/>
      <c r="AF19" s="125"/>
      <c r="AG19" s="126" t="s">
        <v>403</v>
      </c>
      <c r="AH19" s="171">
        <f>IF(Pallet_Ship=TRUE,AJ28,1)</f>
        <v>1</v>
      </c>
      <c r="AJ19" s="172" t="b">
        <v>0</v>
      </c>
      <c r="AK19" s="173" t="s">
        <v>404</v>
      </c>
      <c r="AL19" s="125"/>
      <c r="AM19" s="126" t="s">
        <v>628</v>
      </c>
      <c r="AN19" s="113"/>
      <c r="AO19" s="339">
        <v>1007293</v>
      </c>
      <c r="AP19" s="339" t="s">
        <v>187</v>
      </c>
      <c r="AQ19" s="340"/>
      <c r="AR19" s="113"/>
      <c r="AS19" s="113"/>
      <c r="AU19" s="113"/>
      <c r="AV19" s="113"/>
      <c r="AW19" s="113"/>
      <c r="AX19" s="113"/>
      <c r="AY19" s="113"/>
      <c r="AZ19" s="113"/>
      <c r="BA19" s="113"/>
      <c r="BB19" s="112" t="s">
        <v>418</v>
      </c>
      <c r="BC19" s="148"/>
      <c r="BD19" s="310" t="s">
        <v>991</v>
      </c>
    </row>
    <row r="20" spans="1:63" x14ac:dyDescent="0.2">
      <c r="A20" s="254" t="s">
        <v>458</v>
      </c>
      <c r="B20" s="251"/>
      <c r="C20" s="250" t="s">
        <v>460</v>
      </c>
      <c r="D20" s="251"/>
      <c r="E20" s="252" t="s">
        <v>459</v>
      </c>
      <c r="F20" s="393"/>
      <c r="G20" s="394"/>
      <c r="H20" s="400"/>
      <c r="I20" s="401"/>
      <c r="J20" s="402"/>
      <c r="K20" s="406" t="s">
        <v>100</v>
      </c>
      <c r="L20" s="407"/>
      <c r="M20" s="407"/>
      <c r="N20" s="407"/>
      <c r="O20" s="407"/>
      <c r="P20" s="408"/>
      <c r="R20" s="126">
        <v>18</v>
      </c>
      <c r="S20" s="132" t="s">
        <v>352</v>
      </c>
      <c r="T20" s="132" t="s">
        <v>48</v>
      </c>
      <c r="U20" s="316">
        <v>2.98</v>
      </c>
      <c r="V20" s="316">
        <v>4.6239999999999988</v>
      </c>
      <c r="W20" s="315" t="s">
        <v>368</v>
      </c>
      <c r="X20" s="317">
        <v>3.69</v>
      </c>
      <c r="Y20" s="317">
        <v>5.1739999999999986</v>
      </c>
      <c r="Z20" s="315">
        <v>4.53</v>
      </c>
      <c r="AA20" s="315">
        <v>5.14</v>
      </c>
      <c r="AB20" s="123" t="s">
        <v>506</v>
      </c>
      <c r="AC20" s="133">
        <v>7.0000000000000007E-2</v>
      </c>
      <c r="AD20" s="124">
        <v>-0.1</v>
      </c>
      <c r="AE20" s="137"/>
      <c r="AG20" s="168" t="s">
        <v>375</v>
      </c>
      <c r="AH20" s="169">
        <f>Freight_Rate/AH19</f>
        <v>2.92</v>
      </c>
      <c r="AL20" s="125"/>
      <c r="AM20" s="126" t="s">
        <v>629</v>
      </c>
      <c r="AN20" s="113"/>
      <c r="AO20" s="339">
        <v>1006912</v>
      </c>
      <c r="AP20" s="339" t="s">
        <v>184</v>
      </c>
      <c r="AQ20" s="340"/>
      <c r="AR20" s="113"/>
      <c r="AS20" s="113"/>
      <c r="AU20" s="113"/>
      <c r="AV20" s="113"/>
      <c r="AW20" s="113"/>
      <c r="AX20" s="113"/>
      <c r="AY20" s="113"/>
      <c r="AZ20" s="113"/>
      <c r="BA20" s="113"/>
      <c r="BB20" s="112" t="s">
        <v>606</v>
      </c>
      <c r="BC20" s="148"/>
      <c r="BD20" s="126"/>
    </row>
    <row r="21" spans="1:63" ht="13.5" thickBot="1" x14ac:dyDescent="0.25">
      <c r="A21" s="255" t="s">
        <v>204</v>
      </c>
      <c r="B21" s="256"/>
      <c r="C21" s="257" t="s">
        <v>461</v>
      </c>
      <c r="D21" s="467"/>
      <c r="E21" s="468"/>
      <c r="F21" s="468"/>
      <c r="G21" s="469"/>
      <c r="H21" s="403"/>
      <c r="I21" s="404"/>
      <c r="J21" s="405"/>
      <c r="K21" s="409"/>
      <c r="L21" s="410"/>
      <c r="M21" s="410"/>
      <c r="N21" s="410"/>
      <c r="O21" s="410"/>
      <c r="P21" s="411"/>
      <c r="R21" s="122">
        <v>19</v>
      </c>
      <c r="S21" s="132" t="s">
        <v>352</v>
      </c>
      <c r="T21" s="132" t="s">
        <v>49</v>
      </c>
      <c r="U21" s="316">
        <v>2.98</v>
      </c>
      <c r="V21" s="316">
        <v>4.6239999999999988</v>
      </c>
      <c r="W21" s="315" t="s">
        <v>368</v>
      </c>
      <c r="X21" s="317">
        <v>3.69</v>
      </c>
      <c r="Y21" s="317">
        <v>5.1739999999999986</v>
      </c>
      <c r="Z21" s="315">
        <v>4.53</v>
      </c>
      <c r="AA21" s="315">
        <v>5.14</v>
      </c>
      <c r="AB21" s="123" t="s">
        <v>506</v>
      </c>
      <c r="AC21" s="133">
        <v>7.0000000000000007E-2</v>
      </c>
      <c r="AD21" s="124">
        <v>-0.1</v>
      </c>
      <c r="AE21" s="137"/>
      <c r="AG21" s="126" t="s">
        <v>355</v>
      </c>
      <c r="AH21" s="174">
        <f>IF(OR(Dept_Num=210,Dept_Num=364),-0.1,IF(OR(Dept_Num=608,Dept_Num=610,Dept_Num=612),-0.14,0))</f>
        <v>0</v>
      </c>
      <c r="AJ21" s="108" t="str">
        <f>IF(ISNA(VLOOKUP(Dept_Num,DeptExcepts,1,FALSE)),"",VLOOKUP(Dept_Num,DeptExcepts,1,FALSE))</f>
        <v/>
      </c>
      <c r="AK21" s="175" t="s">
        <v>313</v>
      </c>
      <c r="AL21" s="125"/>
      <c r="AM21" s="126" t="s">
        <v>630</v>
      </c>
      <c r="AN21" s="113"/>
      <c r="AO21" s="339">
        <v>1007330</v>
      </c>
      <c r="AP21" s="339" t="s">
        <v>188</v>
      </c>
      <c r="AQ21" s="340"/>
      <c r="AR21" s="113"/>
      <c r="AS21" s="113"/>
      <c r="AT21" s="113"/>
      <c r="AU21" s="113"/>
      <c r="AV21" s="113"/>
      <c r="AW21" s="113"/>
      <c r="AX21" s="113"/>
      <c r="AY21" s="113"/>
      <c r="AZ21" s="113"/>
      <c r="BA21" s="113"/>
      <c r="BB21" s="112" t="s">
        <v>419</v>
      </c>
      <c r="BC21" s="148"/>
      <c r="BD21" s="126"/>
    </row>
    <row r="22" spans="1:63" ht="30" customHeight="1" thickBot="1" x14ac:dyDescent="0.25">
      <c r="A22" s="258" t="s">
        <v>601</v>
      </c>
      <c r="B22" s="226" t="s">
        <v>472</v>
      </c>
      <c r="C22" s="178" t="s">
        <v>4</v>
      </c>
      <c r="D22" s="179" t="s">
        <v>381</v>
      </c>
      <c r="E22" s="180" t="s">
        <v>348</v>
      </c>
      <c r="F22" s="180" t="s">
        <v>219</v>
      </c>
      <c r="G22" s="181" t="s">
        <v>137</v>
      </c>
      <c r="H22" s="229" t="s">
        <v>399</v>
      </c>
      <c r="I22" s="452" t="s">
        <v>600</v>
      </c>
      <c r="J22" s="453"/>
      <c r="K22" s="412"/>
      <c r="L22" s="412"/>
      <c r="M22" s="412"/>
      <c r="N22" s="412"/>
      <c r="O22" s="412"/>
      <c r="P22" s="413"/>
      <c r="R22" s="126">
        <v>20</v>
      </c>
      <c r="S22" s="132" t="s">
        <v>352</v>
      </c>
      <c r="T22" s="132" t="s">
        <v>382</v>
      </c>
      <c r="U22" s="316">
        <v>2.9800000000000004</v>
      </c>
      <c r="V22" s="316">
        <v>4.6239999999999997</v>
      </c>
      <c r="W22" s="126" t="s">
        <v>368</v>
      </c>
      <c r="X22" s="317">
        <v>3.6900000000000004</v>
      </c>
      <c r="Y22" s="317">
        <v>5.1739999999999995</v>
      </c>
      <c r="Z22" s="315">
        <v>4.53</v>
      </c>
      <c r="AA22" s="315">
        <v>5.1400000000000006</v>
      </c>
      <c r="AB22" s="123" t="s">
        <v>506</v>
      </c>
      <c r="AC22" s="133">
        <v>7.0000000000000007E-2</v>
      </c>
      <c r="AD22" s="124">
        <v>-0.1</v>
      </c>
      <c r="AE22" s="137"/>
      <c r="AG22" s="126" t="s">
        <v>374</v>
      </c>
      <c r="AH22" s="176">
        <f>IF(Region="EUR",IF(FoodSeq=1,0,FoodRate),IF(FoodSeq=2,FoodRate,0))</f>
        <v>0</v>
      </c>
      <c r="AI22" s="177" t="str">
        <f>VLOOKUP(AJ17,$AF$12:$AG$13,2,FALSE)</f>
        <v>Non-Food</v>
      </c>
      <c r="AJ22" s="177" t="str">
        <f>Region</f>
        <v>ASIA</v>
      </c>
      <c r="AK22" s="166" t="s">
        <v>378</v>
      </c>
      <c r="AL22" s="125"/>
      <c r="AM22" s="126" t="s">
        <v>631</v>
      </c>
      <c r="AN22" s="113"/>
      <c r="AO22" s="339">
        <v>738570</v>
      </c>
      <c r="AP22" s="339" t="s">
        <v>680</v>
      </c>
      <c r="AQ22" s="340" t="s">
        <v>681</v>
      </c>
      <c r="AR22" s="113"/>
      <c r="AS22" s="113"/>
      <c r="AT22" s="113"/>
      <c r="AU22" s="113"/>
      <c r="AV22" s="113"/>
      <c r="AW22" s="113"/>
      <c r="AX22" s="113"/>
      <c r="AY22" s="113"/>
      <c r="AZ22" s="113"/>
      <c r="BA22" s="113"/>
      <c r="BB22" s="112" t="s">
        <v>607</v>
      </c>
      <c r="BC22" s="148"/>
      <c r="BD22" s="126"/>
    </row>
    <row r="23" spans="1:63" ht="16.5" customHeight="1" thickBot="1" x14ac:dyDescent="0.25">
      <c r="A23" s="336"/>
      <c r="B23" s="59"/>
      <c r="C23" s="55"/>
      <c r="D23" s="60"/>
      <c r="E23" s="60"/>
      <c r="F23" s="68">
        <f>IF(AND(K7&gt;0,K8&gt;0,K9&gt;0),K7*K8*K9/1728,N7*N8*N9*0.00003531466672)</f>
        <v>0</v>
      </c>
      <c r="G23" s="57"/>
      <c r="H23" s="230"/>
      <c r="I23" s="330"/>
      <c r="J23" s="331"/>
      <c r="K23" s="412"/>
      <c r="L23" s="412"/>
      <c r="M23" s="412"/>
      <c r="N23" s="412"/>
      <c r="O23" s="412"/>
      <c r="P23" s="413"/>
      <c r="R23" s="126">
        <v>21</v>
      </c>
      <c r="S23" s="132" t="s">
        <v>352</v>
      </c>
      <c r="T23" s="132" t="s">
        <v>68</v>
      </c>
      <c r="U23" s="316">
        <v>2.98</v>
      </c>
      <c r="V23" s="316">
        <v>4.6239999999999988</v>
      </c>
      <c r="W23" s="315" t="s">
        <v>368</v>
      </c>
      <c r="X23" s="317">
        <v>3.69</v>
      </c>
      <c r="Y23" s="317">
        <v>5.1739999999999986</v>
      </c>
      <c r="Z23" s="315">
        <v>4.53</v>
      </c>
      <c r="AA23" s="315">
        <v>5.14</v>
      </c>
      <c r="AB23" s="123" t="s">
        <v>506</v>
      </c>
      <c r="AC23" s="133">
        <v>7.0000000000000007E-2</v>
      </c>
      <c r="AD23" s="124">
        <v>-0.1</v>
      </c>
      <c r="AE23" s="137"/>
      <c r="AG23" s="182" t="s">
        <v>373</v>
      </c>
      <c r="AH23" s="183">
        <f>IF(AH16="","No Rates",SUM(AH20:AH22))</f>
        <v>2.92</v>
      </c>
      <c r="AJ23" s="125"/>
      <c r="AL23" s="125"/>
      <c r="AM23" s="126" t="s">
        <v>632</v>
      </c>
      <c r="AN23" s="113"/>
      <c r="AO23" s="339">
        <v>5000233</v>
      </c>
      <c r="AP23" s="339" t="s">
        <v>680</v>
      </c>
      <c r="AQ23" s="340" t="s">
        <v>681</v>
      </c>
      <c r="AR23" s="113"/>
      <c r="AS23" s="113"/>
      <c r="AT23" s="113"/>
      <c r="AU23" s="113"/>
      <c r="AV23" s="113"/>
      <c r="AW23" s="113"/>
      <c r="AX23" s="113"/>
      <c r="AY23" s="113"/>
      <c r="AZ23" s="113"/>
      <c r="BA23" s="113"/>
      <c r="BB23" s="112" t="s">
        <v>420</v>
      </c>
      <c r="BC23" s="148"/>
      <c r="BD23" s="126"/>
    </row>
    <row r="24" spans="1:63" ht="21.75" customHeight="1" thickBot="1" x14ac:dyDescent="0.25">
      <c r="A24" s="185"/>
      <c r="B24" s="185"/>
      <c r="C24" s="186" t="s">
        <v>314</v>
      </c>
      <c r="D24" s="443" t="s">
        <v>214</v>
      </c>
      <c r="E24" s="444"/>
      <c r="F24" s="295" t="s">
        <v>213</v>
      </c>
      <c r="G24" s="185"/>
      <c r="H24" s="185"/>
      <c r="I24" s="332"/>
      <c r="J24" s="333"/>
      <c r="K24" s="414"/>
      <c r="L24" s="414"/>
      <c r="M24" s="414"/>
      <c r="N24" s="414"/>
      <c r="O24" s="414"/>
      <c r="P24" s="415"/>
      <c r="R24" s="126">
        <v>22</v>
      </c>
      <c r="S24" s="132" t="s">
        <v>352</v>
      </c>
      <c r="T24" s="132" t="s">
        <v>50</v>
      </c>
      <c r="U24" s="316">
        <v>2.98</v>
      </c>
      <c r="V24" s="316">
        <v>4.6239999999999988</v>
      </c>
      <c r="W24" s="315" t="s">
        <v>368</v>
      </c>
      <c r="X24" s="317">
        <v>3.69</v>
      </c>
      <c r="Y24" s="317">
        <v>5.1739999999999986</v>
      </c>
      <c r="Z24" s="315">
        <v>4.53</v>
      </c>
      <c r="AA24" s="315">
        <v>5.14</v>
      </c>
      <c r="AB24" s="123" t="s">
        <v>506</v>
      </c>
      <c r="AC24" s="133">
        <v>7.0000000000000007E-2</v>
      </c>
      <c r="AD24" s="124">
        <v>-0.1</v>
      </c>
      <c r="AE24" s="137"/>
      <c r="AF24" s="125"/>
      <c r="AI24" s="125"/>
      <c r="AJ24" s="245" t="s">
        <v>402</v>
      </c>
      <c r="AK24" s="184"/>
      <c r="AL24" s="125"/>
      <c r="AM24" s="126" t="s">
        <v>633</v>
      </c>
      <c r="AN24" s="113"/>
      <c r="AO24" s="339">
        <v>115400</v>
      </c>
      <c r="AP24" s="339" t="s">
        <v>321</v>
      </c>
      <c r="AQ24" s="340"/>
      <c r="AR24" s="113"/>
      <c r="AS24" s="113"/>
      <c r="AT24" s="113"/>
      <c r="AU24" s="113"/>
      <c r="AV24" s="113"/>
      <c r="AW24" s="113"/>
      <c r="AX24" s="113"/>
      <c r="AY24" s="113"/>
      <c r="AZ24" s="113"/>
      <c r="BA24" s="113"/>
      <c r="BB24" s="112" t="s">
        <v>421</v>
      </c>
      <c r="BC24" s="148"/>
    </row>
    <row r="25" spans="1:63" ht="20.25" customHeight="1" thickBot="1" x14ac:dyDescent="0.25">
      <c r="A25" s="185"/>
      <c r="B25" s="185"/>
      <c r="C25" s="56"/>
      <c r="E25" s="61"/>
      <c r="F25" s="296"/>
      <c r="G25" s="448" t="s">
        <v>336</v>
      </c>
      <c r="H25" s="449"/>
      <c r="I25" s="450"/>
      <c r="J25" s="450"/>
      <c r="K25" s="449"/>
      <c r="L25" s="449"/>
      <c r="M25" s="449"/>
      <c r="N25" s="449"/>
      <c r="O25" s="449"/>
      <c r="P25" s="451"/>
      <c r="R25" s="122">
        <v>23</v>
      </c>
      <c r="S25" s="132" t="s">
        <v>352</v>
      </c>
      <c r="T25" s="132" t="s">
        <v>72</v>
      </c>
      <c r="U25" s="316">
        <v>2.98</v>
      </c>
      <c r="V25" s="316">
        <v>4.6239999999999988</v>
      </c>
      <c r="W25" s="315">
        <v>3</v>
      </c>
      <c r="X25" s="317">
        <v>3.69</v>
      </c>
      <c r="Y25" s="317">
        <v>5.1739999999999986</v>
      </c>
      <c r="Z25" s="315">
        <v>4.53</v>
      </c>
      <c r="AA25" s="315">
        <v>5.14</v>
      </c>
      <c r="AB25" s="123" t="s">
        <v>506</v>
      </c>
      <c r="AC25" s="133">
        <v>7.0000000000000007E-2</v>
      </c>
      <c r="AD25" s="124">
        <v>-0.1</v>
      </c>
      <c r="AE25" s="137"/>
      <c r="AF25" s="125"/>
      <c r="AG25" s="126" t="s">
        <v>534</v>
      </c>
      <c r="AH25" s="281">
        <f>Carton_Cube</f>
        <v>0</v>
      </c>
      <c r="AJ25" s="187">
        <f>VLOOKUP(RateSeq,$AF$2:$AJ$8,5,FALSE)</f>
        <v>2000</v>
      </c>
      <c r="AK25" s="188" t="s">
        <v>398</v>
      </c>
      <c r="AL25" s="125"/>
      <c r="AM25" s="126" t="s">
        <v>634</v>
      </c>
      <c r="AN25" s="113"/>
      <c r="AO25" s="339">
        <v>1004798</v>
      </c>
      <c r="AP25" s="339" t="s">
        <v>385</v>
      </c>
      <c r="AQ25" s="340"/>
      <c r="AR25" s="113"/>
      <c r="AS25" s="113"/>
      <c r="AT25" s="113"/>
      <c r="AU25" s="113"/>
      <c r="AV25" s="113"/>
      <c r="AW25" s="113"/>
      <c r="AX25" s="113"/>
      <c r="AY25" s="113"/>
      <c r="AZ25" s="113"/>
      <c r="BA25" s="113"/>
      <c r="BB25" s="112" t="s">
        <v>608</v>
      </c>
      <c r="BC25" s="148"/>
    </row>
    <row r="26" spans="1:63" ht="13.5" thickBot="1" x14ac:dyDescent="0.25">
      <c r="A26" s="190" t="s">
        <v>438</v>
      </c>
      <c r="B26" s="62"/>
      <c r="D26" s="441" t="s">
        <v>218</v>
      </c>
      <c r="E26" s="442"/>
      <c r="F26" s="69">
        <f>F25*Conv_Ratio</f>
        <v>0</v>
      </c>
      <c r="G26" s="457"/>
      <c r="H26" s="458"/>
      <c r="I26" s="458"/>
      <c r="J26" s="458"/>
      <c r="K26" s="458"/>
      <c r="L26" s="458"/>
      <c r="M26" s="458"/>
      <c r="N26" s="458"/>
      <c r="O26" s="458"/>
      <c r="P26" s="459"/>
      <c r="R26" s="122">
        <v>24</v>
      </c>
      <c r="S26" s="132" t="s">
        <v>352</v>
      </c>
      <c r="T26" s="132" t="s">
        <v>51</v>
      </c>
      <c r="U26" s="316">
        <v>2.98</v>
      </c>
      <c r="V26" s="316">
        <v>4.6239999999999988</v>
      </c>
      <c r="W26" s="315">
        <v>3</v>
      </c>
      <c r="X26" s="317">
        <v>3.69</v>
      </c>
      <c r="Y26" s="317">
        <v>5.1739999999999986</v>
      </c>
      <c r="Z26" s="315">
        <v>4.53</v>
      </c>
      <c r="AA26" s="315">
        <v>5.14</v>
      </c>
      <c r="AB26" s="123" t="s">
        <v>506</v>
      </c>
      <c r="AC26" s="133">
        <v>7.0000000000000007E-2</v>
      </c>
      <c r="AD26" s="124">
        <v>-0.1</v>
      </c>
      <c r="AE26" s="137"/>
      <c r="AF26" s="125"/>
      <c r="AG26" s="126" t="s">
        <v>533</v>
      </c>
      <c r="AH26" s="281">
        <f>IF(Mstr_Wt_lb&lt;&gt;"",Mstr_Wt_lb,Mstr_Wt_kg*2.20462262 )</f>
        <v>0</v>
      </c>
      <c r="AI26" s="189"/>
      <c r="AJ26" s="187" t="e">
        <f>AJ25/(Carton_Cube/Mstr_Pk)</f>
        <v>#DIV/0!</v>
      </c>
      <c r="AK26" s="188" t="s">
        <v>405</v>
      </c>
      <c r="AL26" s="125"/>
      <c r="AM26" s="126" t="s">
        <v>635</v>
      </c>
      <c r="AN26" s="113"/>
      <c r="AO26" s="339">
        <v>1007335</v>
      </c>
      <c r="AP26" s="339" t="s">
        <v>328</v>
      </c>
      <c r="AQ26" s="340"/>
      <c r="AR26" s="113"/>
      <c r="AS26" s="113"/>
      <c r="AT26" s="113"/>
      <c r="AU26" s="113"/>
      <c r="AV26" s="113"/>
      <c r="AW26" s="113"/>
      <c r="AX26" s="113"/>
      <c r="AY26" s="113"/>
      <c r="AZ26" s="113"/>
      <c r="BA26" s="113"/>
      <c r="BB26" s="112" t="s">
        <v>611</v>
      </c>
      <c r="BC26" s="148"/>
    </row>
    <row r="27" spans="1:63" ht="13.5" thickBot="1" x14ac:dyDescent="0.25">
      <c r="A27" s="190" t="s">
        <v>5</v>
      </c>
      <c r="B27" s="64"/>
      <c r="C27" s="191"/>
      <c r="D27" s="192" t="s">
        <v>6</v>
      </c>
      <c r="E27" s="70">
        <f>B27*FOBCostPerPiece</f>
        <v>0</v>
      </c>
      <c r="F27" s="445" t="s">
        <v>316</v>
      </c>
      <c r="G27" s="457"/>
      <c r="H27" s="458"/>
      <c r="I27" s="458"/>
      <c r="J27" s="458"/>
      <c r="K27" s="458"/>
      <c r="L27" s="458"/>
      <c r="M27" s="458"/>
      <c r="N27" s="458"/>
      <c r="O27" s="458"/>
      <c r="P27" s="459"/>
      <c r="R27" s="126">
        <v>25</v>
      </c>
      <c r="S27" s="132" t="s">
        <v>352</v>
      </c>
      <c r="T27" s="132" t="s">
        <v>52</v>
      </c>
      <c r="U27" s="316">
        <v>3.17</v>
      </c>
      <c r="V27" s="316">
        <v>4.9279999999999982</v>
      </c>
      <c r="W27" s="315" t="s">
        <v>368</v>
      </c>
      <c r="X27" s="317">
        <v>3.88</v>
      </c>
      <c r="Y27" s="317">
        <v>5.477999999999998</v>
      </c>
      <c r="Z27" s="315">
        <v>4.72</v>
      </c>
      <c r="AA27" s="315">
        <v>5.33</v>
      </c>
      <c r="AB27" s="123" t="s">
        <v>506</v>
      </c>
      <c r="AC27" s="133">
        <v>7.0000000000000007E-2</v>
      </c>
      <c r="AD27" s="124">
        <v>-0.1</v>
      </c>
      <c r="AE27" s="137"/>
      <c r="AF27" s="125"/>
      <c r="AJ27" s="187">
        <f>PiecesPerPallet*PalletsPerContainer</f>
        <v>0</v>
      </c>
      <c r="AK27" s="188" t="s">
        <v>400</v>
      </c>
      <c r="AL27" s="125"/>
      <c r="AM27" s="126" t="s">
        <v>636</v>
      </c>
      <c r="AN27" s="113"/>
      <c r="AO27" s="339">
        <v>1006483</v>
      </c>
      <c r="AP27" s="339" t="s">
        <v>519</v>
      </c>
      <c r="AQ27" s="340"/>
      <c r="AR27" s="113"/>
      <c r="AS27" s="113"/>
      <c r="AT27" s="113"/>
      <c r="AU27" s="113"/>
      <c r="AV27" s="113"/>
      <c r="AW27" s="113"/>
      <c r="AX27" s="113"/>
      <c r="AY27" s="113"/>
      <c r="AZ27" s="113"/>
      <c r="BA27" s="113"/>
      <c r="BB27" s="112" t="s">
        <v>422</v>
      </c>
      <c r="BC27" s="148"/>
    </row>
    <row r="28" spans="1:63" ht="13.5" thickBot="1" x14ac:dyDescent="0.25">
      <c r="A28" s="193" t="s">
        <v>356</v>
      </c>
      <c r="B28" s="65">
        <f>IF(ISERROR(ROUND(RevFreightPerCFT,2)),"No Rates",ROUND(RevFreightPerCFT,2))</f>
        <v>2.92</v>
      </c>
      <c r="D28" s="192" t="s">
        <v>69</v>
      </c>
      <c r="E28" s="194"/>
      <c r="F28" s="446"/>
      <c r="G28" s="457"/>
      <c r="H28" s="458"/>
      <c r="I28" s="458"/>
      <c r="J28" s="458"/>
      <c r="K28" s="458"/>
      <c r="L28" s="458"/>
      <c r="M28" s="458"/>
      <c r="N28" s="458"/>
      <c r="O28" s="458"/>
      <c r="P28" s="459"/>
      <c r="R28" s="126">
        <v>26</v>
      </c>
      <c r="S28" s="132" t="s">
        <v>352</v>
      </c>
      <c r="T28" s="132" t="s">
        <v>96</v>
      </c>
      <c r="U28" s="316">
        <v>2.98</v>
      </c>
      <c r="V28" s="316">
        <v>4.6239999999999988</v>
      </c>
      <c r="W28" s="315" t="s">
        <v>368</v>
      </c>
      <c r="X28" s="317">
        <v>3.69</v>
      </c>
      <c r="Y28" s="317">
        <v>5.1739999999999986</v>
      </c>
      <c r="Z28" s="315">
        <v>4.53</v>
      </c>
      <c r="AA28" s="315">
        <v>5.14</v>
      </c>
      <c r="AB28" s="123" t="s">
        <v>506</v>
      </c>
      <c r="AC28" s="133">
        <v>7.0000000000000007E-2</v>
      </c>
      <c r="AD28" s="124">
        <v>-0.1</v>
      </c>
      <c r="AE28" s="137"/>
      <c r="AF28" s="125"/>
      <c r="AJ28" s="171" t="e">
        <f>AJ27/AJ26</f>
        <v>#DIV/0!</v>
      </c>
      <c r="AK28" s="188" t="s">
        <v>403</v>
      </c>
      <c r="AL28" s="125"/>
      <c r="AM28" s="126" t="s">
        <v>637</v>
      </c>
      <c r="AN28" s="113"/>
      <c r="AO28" s="339">
        <v>4000601</v>
      </c>
      <c r="AP28" s="339" t="s">
        <v>329</v>
      </c>
      <c r="AQ28" s="340"/>
      <c r="AR28" s="113"/>
      <c r="AS28" s="113"/>
      <c r="AT28" s="113"/>
      <c r="AU28" s="113"/>
      <c r="AV28" s="113"/>
      <c r="AW28" s="113"/>
      <c r="AX28" s="113"/>
      <c r="AY28" s="113"/>
      <c r="AZ28" s="113"/>
      <c r="BA28" s="113"/>
      <c r="BB28" s="112" t="s">
        <v>612</v>
      </c>
      <c r="BC28" s="148"/>
      <c r="BK28" s="128"/>
    </row>
    <row r="29" spans="1:63" ht="13.5" thickBot="1" x14ac:dyDescent="0.25">
      <c r="A29" s="190" t="s">
        <v>31</v>
      </c>
      <c r="B29" s="58"/>
      <c r="C29" s="195"/>
      <c r="D29" s="192" t="s">
        <v>7</v>
      </c>
      <c r="E29" s="71">
        <f>IF(Mstr_Pk=0,0,Carton_Cube*FreightRatePerCFT/Mstr_Pk)</f>
        <v>0</v>
      </c>
      <c r="F29" s="446"/>
      <c r="G29" s="457"/>
      <c r="H29" s="458"/>
      <c r="I29" s="458"/>
      <c r="J29" s="458"/>
      <c r="K29" s="458"/>
      <c r="L29" s="458"/>
      <c r="M29" s="458"/>
      <c r="N29" s="458"/>
      <c r="O29" s="458"/>
      <c r="P29" s="459"/>
      <c r="R29" s="126">
        <v>27</v>
      </c>
      <c r="S29" s="132" t="s">
        <v>352</v>
      </c>
      <c r="T29" s="132" t="s">
        <v>53</v>
      </c>
      <c r="U29" s="316">
        <v>2.98</v>
      </c>
      <c r="V29" s="316">
        <v>4.6239999999999988</v>
      </c>
      <c r="W29" s="315">
        <v>3</v>
      </c>
      <c r="X29" s="317">
        <v>3.69</v>
      </c>
      <c r="Y29" s="317">
        <v>5.1739999999999986</v>
      </c>
      <c r="Z29" s="315">
        <v>4.53</v>
      </c>
      <c r="AA29" s="315">
        <v>5.14</v>
      </c>
      <c r="AB29" s="123" t="s">
        <v>506</v>
      </c>
      <c r="AC29" s="133">
        <v>7.0000000000000007E-2</v>
      </c>
      <c r="AD29" s="124">
        <v>-0.1</v>
      </c>
      <c r="AE29" s="137"/>
      <c r="AF29" s="125"/>
      <c r="AL29" s="125"/>
      <c r="AM29" s="126" t="s">
        <v>638</v>
      </c>
      <c r="AN29" s="113"/>
      <c r="AO29" s="339">
        <v>735930</v>
      </c>
      <c r="AP29" s="339" t="s">
        <v>440</v>
      </c>
      <c r="AQ29" s="340"/>
      <c r="AR29" s="113"/>
      <c r="AS29" s="113"/>
      <c r="AT29" s="113"/>
      <c r="AU29" s="113"/>
      <c r="AV29" s="113"/>
      <c r="AW29" s="113"/>
      <c r="AX29" s="113"/>
      <c r="AY29" s="113"/>
      <c r="AZ29" s="113"/>
      <c r="BA29" s="113"/>
      <c r="BB29" s="112" t="s">
        <v>423</v>
      </c>
      <c r="BC29" s="148"/>
    </row>
    <row r="30" spans="1:63" ht="13.5" thickBot="1" x14ac:dyDescent="0.25">
      <c r="A30" s="190" t="s">
        <v>539</v>
      </c>
      <c r="B30" s="57"/>
      <c r="D30" s="196" t="s">
        <v>315</v>
      </c>
      <c r="E30" s="284">
        <f>SUM(E27:E29)</f>
        <v>0</v>
      </c>
      <c r="F30" s="446"/>
      <c r="G30" s="457"/>
      <c r="H30" s="458"/>
      <c r="I30" s="458"/>
      <c r="J30" s="458"/>
      <c r="K30" s="458"/>
      <c r="L30" s="458"/>
      <c r="M30" s="458"/>
      <c r="N30" s="458"/>
      <c r="O30" s="458"/>
      <c r="P30" s="459"/>
      <c r="R30" s="122">
        <v>28</v>
      </c>
      <c r="S30" s="132" t="s">
        <v>352</v>
      </c>
      <c r="T30" s="132" t="s">
        <v>94</v>
      </c>
      <c r="U30" s="316">
        <v>2.98</v>
      </c>
      <c r="V30" s="316">
        <v>4.6239999999999988</v>
      </c>
      <c r="W30" s="315" t="s">
        <v>368</v>
      </c>
      <c r="X30" s="317">
        <v>3.69</v>
      </c>
      <c r="Y30" s="317">
        <v>5.1739999999999986</v>
      </c>
      <c r="Z30" s="315">
        <v>4.53</v>
      </c>
      <c r="AA30" s="315">
        <v>5.14</v>
      </c>
      <c r="AB30" s="123" t="s">
        <v>506</v>
      </c>
      <c r="AC30" s="133">
        <v>7.0000000000000007E-2</v>
      </c>
      <c r="AD30" s="124">
        <v>-0.1</v>
      </c>
      <c r="AE30" s="137"/>
      <c r="AF30" s="125"/>
      <c r="AL30" s="125"/>
      <c r="AM30" s="126" t="s">
        <v>639</v>
      </c>
      <c r="AN30" s="113"/>
      <c r="AO30" s="339">
        <v>1010263</v>
      </c>
      <c r="AP30" s="339" t="s">
        <v>322</v>
      </c>
      <c r="AQ30" s="340"/>
      <c r="AT30" s="113"/>
      <c r="AU30" s="113"/>
      <c r="AV30" s="113"/>
      <c r="AW30" s="113"/>
      <c r="AX30" s="113"/>
      <c r="AY30" s="113"/>
      <c r="AZ30" s="113"/>
      <c r="BA30" s="113"/>
      <c r="BB30" s="112" t="s">
        <v>614</v>
      </c>
      <c r="BC30" s="148"/>
    </row>
    <row r="31" spans="1:63" ht="13.5" thickBot="1" x14ac:dyDescent="0.25">
      <c r="A31" s="190" t="s">
        <v>90</v>
      </c>
      <c r="B31" s="63"/>
      <c r="D31" s="192" t="s">
        <v>12</v>
      </c>
      <c r="E31" s="71">
        <f>ROUND(IF(Brand_Vend_Value&gt;0,0,0.04*FOBCostPerPiece),2)</f>
        <v>0</v>
      </c>
      <c r="F31" s="446"/>
      <c r="G31" s="457"/>
      <c r="H31" s="458"/>
      <c r="I31" s="458"/>
      <c r="J31" s="458"/>
      <c r="K31" s="458"/>
      <c r="L31" s="458"/>
      <c r="M31" s="458"/>
      <c r="N31" s="458"/>
      <c r="O31" s="458"/>
      <c r="P31" s="459"/>
      <c r="R31" s="126">
        <v>29</v>
      </c>
      <c r="S31" s="132" t="s">
        <v>352</v>
      </c>
      <c r="T31" s="132" t="s">
        <v>380</v>
      </c>
      <c r="U31" s="316">
        <v>2.92</v>
      </c>
      <c r="V31" s="316">
        <v>4.5279999999999987</v>
      </c>
      <c r="W31" s="315">
        <v>2.9200000000000004</v>
      </c>
      <c r="X31" s="317">
        <v>3.63</v>
      </c>
      <c r="Y31" s="317">
        <v>5.0779999999999985</v>
      </c>
      <c r="Z31" s="315">
        <v>4.47</v>
      </c>
      <c r="AA31" s="315">
        <v>5.08</v>
      </c>
      <c r="AB31" s="123" t="s">
        <v>506</v>
      </c>
      <c r="AC31" s="133">
        <v>7.0000000000000007E-2</v>
      </c>
      <c r="AD31" s="124">
        <v>-0.1</v>
      </c>
      <c r="AE31" s="137"/>
      <c r="AF31" s="125"/>
      <c r="AL31" s="125"/>
      <c r="AM31" s="126" t="s">
        <v>640</v>
      </c>
      <c r="AN31" s="113"/>
      <c r="AO31" s="339">
        <v>720980</v>
      </c>
      <c r="AP31" s="339" t="s">
        <v>682</v>
      </c>
      <c r="AQ31" s="340" t="s">
        <v>681</v>
      </c>
      <c r="AT31" s="113"/>
      <c r="AU31" s="113"/>
      <c r="AV31" s="113"/>
      <c r="AW31" s="113"/>
      <c r="AX31" s="113"/>
      <c r="AY31" s="113"/>
      <c r="AZ31" s="113"/>
      <c r="BA31" s="113"/>
      <c r="BB31" s="112" t="s">
        <v>424</v>
      </c>
      <c r="BC31" s="148"/>
    </row>
    <row r="32" spans="1:63" ht="13.5" thickBot="1" x14ac:dyDescent="0.25">
      <c r="A32" s="190" t="s">
        <v>25</v>
      </c>
      <c r="B32" s="66"/>
      <c r="D32" s="197" t="s">
        <v>90</v>
      </c>
      <c r="E32" s="71">
        <f>FOBCostPerPiece*B31</f>
        <v>0</v>
      </c>
      <c r="F32" s="447"/>
      <c r="G32" s="457"/>
      <c r="H32" s="458"/>
      <c r="I32" s="458"/>
      <c r="J32" s="458"/>
      <c r="K32" s="458"/>
      <c r="L32" s="458"/>
      <c r="M32" s="458"/>
      <c r="N32" s="458"/>
      <c r="O32" s="458"/>
      <c r="P32" s="459"/>
      <c r="R32" s="126">
        <v>30</v>
      </c>
      <c r="S32" s="132" t="s">
        <v>352</v>
      </c>
      <c r="T32" s="132" t="s">
        <v>54</v>
      </c>
      <c r="U32" s="316">
        <v>2.98</v>
      </c>
      <c r="V32" s="316">
        <v>4.6239999999999988</v>
      </c>
      <c r="W32" s="315" t="s">
        <v>368</v>
      </c>
      <c r="X32" s="317">
        <v>3.69</v>
      </c>
      <c r="Y32" s="317">
        <v>5.1739999999999986</v>
      </c>
      <c r="Z32" s="315">
        <v>4.53</v>
      </c>
      <c r="AA32" s="315">
        <v>5.14</v>
      </c>
      <c r="AB32" s="123" t="s">
        <v>506</v>
      </c>
      <c r="AC32" s="133">
        <v>7.0000000000000007E-2</v>
      </c>
      <c r="AD32" s="124">
        <v>-0.1</v>
      </c>
      <c r="AE32" s="137"/>
      <c r="AF32" s="125"/>
      <c r="AG32" s="125"/>
      <c r="AH32" s="125"/>
      <c r="AI32" s="125"/>
      <c r="AJ32" s="125"/>
      <c r="AL32" s="125"/>
      <c r="AM32" s="126" t="s">
        <v>641</v>
      </c>
      <c r="AN32" s="113"/>
      <c r="AO32" s="339">
        <v>1010145</v>
      </c>
      <c r="AP32" s="339" t="s">
        <v>196</v>
      </c>
      <c r="AQ32" s="340"/>
      <c r="AT32" s="113"/>
      <c r="AU32" s="113"/>
      <c r="AV32" s="113"/>
      <c r="AW32" s="113"/>
      <c r="AX32" s="113"/>
      <c r="AY32" s="113"/>
      <c r="AZ32" s="113"/>
      <c r="BA32" s="113"/>
      <c r="BB32" s="112" t="s">
        <v>425</v>
      </c>
      <c r="BC32" s="148"/>
    </row>
    <row r="33" spans="1:55" ht="13.5" customHeight="1" thickBot="1" x14ac:dyDescent="0.25">
      <c r="A33" s="204" t="s">
        <v>26</v>
      </c>
      <c r="B33" s="66"/>
      <c r="D33" s="200" t="s">
        <v>21</v>
      </c>
      <c r="E33" s="201"/>
      <c r="F33" s="73">
        <f>E30+E31+E32</f>
        <v>0</v>
      </c>
      <c r="G33" s="457"/>
      <c r="H33" s="458"/>
      <c r="I33" s="458"/>
      <c r="J33" s="458"/>
      <c r="K33" s="458"/>
      <c r="L33" s="458"/>
      <c r="M33" s="458"/>
      <c r="N33" s="458"/>
      <c r="O33" s="458"/>
      <c r="P33" s="459"/>
      <c r="R33" s="126">
        <v>31</v>
      </c>
      <c r="S33" s="132" t="s">
        <v>352</v>
      </c>
      <c r="T33" s="132" t="s">
        <v>55</v>
      </c>
      <c r="U33" s="316">
        <v>2.98</v>
      </c>
      <c r="V33" s="316">
        <v>4.6239999999999988</v>
      </c>
      <c r="W33" s="315" t="s">
        <v>368</v>
      </c>
      <c r="X33" s="317">
        <v>3.69</v>
      </c>
      <c r="Y33" s="317">
        <v>5.1739999999999986</v>
      </c>
      <c r="Z33" s="315">
        <v>4.53</v>
      </c>
      <c r="AA33" s="315">
        <v>5.14</v>
      </c>
      <c r="AB33" s="123" t="s">
        <v>506</v>
      </c>
      <c r="AC33" s="133">
        <v>7.0000000000000007E-2</v>
      </c>
      <c r="AD33" s="124">
        <v>-0.1</v>
      </c>
      <c r="AE33" s="137"/>
      <c r="AF33" s="125"/>
      <c r="AI33" s="198" t="str">
        <f>IF(OR(RateSeq=4,RateSeq=5),"DCL","N")</f>
        <v>N</v>
      </c>
      <c r="AJ33" s="199" t="s">
        <v>343</v>
      </c>
      <c r="AL33" s="125"/>
      <c r="AM33" s="126" t="s">
        <v>642</v>
      </c>
      <c r="AN33" s="113"/>
      <c r="AO33" s="339">
        <v>670820</v>
      </c>
      <c r="AP33" s="339" t="s">
        <v>164</v>
      </c>
      <c r="AQ33" s="340"/>
      <c r="AT33" s="113"/>
      <c r="AU33" s="113"/>
      <c r="AV33" s="113"/>
      <c r="AW33" s="113"/>
      <c r="AX33" s="113"/>
      <c r="AY33" s="113"/>
      <c r="AZ33" s="113"/>
      <c r="BA33" s="113"/>
      <c r="BB33" s="112" t="s">
        <v>426</v>
      </c>
      <c r="BC33" s="148"/>
    </row>
    <row r="34" spans="1:55" ht="13.5" thickBot="1" x14ac:dyDescent="0.25">
      <c r="D34" s="202" t="s">
        <v>8</v>
      </c>
      <c r="E34" s="203"/>
      <c r="F34" s="73">
        <f>F33+F26</f>
        <v>0</v>
      </c>
      <c r="G34" s="457"/>
      <c r="H34" s="458"/>
      <c r="I34" s="458"/>
      <c r="J34" s="458"/>
      <c r="K34" s="458"/>
      <c r="L34" s="458"/>
      <c r="M34" s="458"/>
      <c r="N34" s="458"/>
      <c r="O34" s="458"/>
      <c r="P34" s="459"/>
      <c r="R34" s="126">
        <v>32</v>
      </c>
      <c r="S34" s="132" t="s">
        <v>351</v>
      </c>
      <c r="T34" s="132" t="s">
        <v>555</v>
      </c>
      <c r="U34" s="316">
        <v>1.79</v>
      </c>
      <c r="V34" s="316">
        <v>2.9</v>
      </c>
      <c r="W34" s="315" t="s">
        <v>368</v>
      </c>
      <c r="X34" s="317">
        <v>3.13</v>
      </c>
      <c r="Y34" s="317">
        <v>4</v>
      </c>
      <c r="Z34" s="315">
        <v>3.34</v>
      </c>
      <c r="AA34" s="315">
        <v>4.58</v>
      </c>
      <c r="AB34" s="123" t="s">
        <v>506</v>
      </c>
      <c r="AC34" s="133">
        <v>7.0000000000000007E-2</v>
      </c>
      <c r="AD34" s="124">
        <v>-0.1</v>
      </c>
      <c r="AE34" s="137"/>
      <c r="AF34" s="125"/>
      <c r="AJ34" s="125"/>
      <c r="AL34" s="125"/>
      <c r="AM34" s="126" t="s">
        <v>643</v>
      </c>
      <c r="AN34" s="113"/>
      <c r="AO34" s="339">
        <v>917029</v>
      </c>
      <c r="AP34" s="339" t="s">
        <v>164</v>
      </c>
      <c r="AQ34" s="340"/>
      <c r="AT34" s="113"/>
      <c r="AU34" s="113"/>
      <c r="AV34" s="113"/>
      <c r="AW34" s="113"/>
      <c r="AX34" s="113"/>
      <c r="AY34" s="113"/>
      <c r="AZ34" s="113"/>
      <c r="BA34" s="113"/>
      <c r="BB34" s="112" t="s">
        <v>617</v>
      </c>
      <c r="BC34" s="148"/>
    </row>
    <row r="35" spans="1:55" ht="13.5" thickBot="1" x14ac:dyDescent="0.25">
      <c r="A35" s="303" t="s">
        <v>567</v>
      </c>
      <c r="B35" s="298" t="s">
        <v>549</v>
      </c>
      <c r="C35" s="299" t="s">
        <v>546</v>
      </c>
      <c r="D35" s="205" t="s">
        <v>220</v>
      </c>
      <c r="E35" s="203"/>
      <c r="F35" s="285"/>
      <c r="G35" s="457"/>
      <c r="H35" s="458"/>
      <c r="I35" s="458"/>
      <c r="J35" s="458"/>
      <c r="K35" s="458"/>
      <c r="L35" s="458"/>
      <c r="M35" s="458"/>
      <c r="N35" s="458"/>
      <c r="O35" s="458"/>
      <c r="P35" s="459"/>
      <c r="R35" s="122">
        <v>33</v>
      </c>
      <c r="S35" s="132" t="s">
        <v>351</v>
      </c>
      <c r="T35" s="132" t="s">
        <v>556</v>
      </c>
      <c r="U35" s="316">
        <v>1.79</v>
      </c>
      <c r="V35" s="316">
        <v>2.9</v>
      </c>
      <c r="W35" s="315" t="s">
        <v>368</v>
      </c>
      <c r="X35" s="317">
        <v>3.13</v>
      </c>
      <c r="Y35" s="317">
        <v>4</v>
      </c>
      <c r="Z35" s="315">
        <v>3.34</v>
      </c>
      <c r="AA35" s="315">
        <v>4.58</v>
      </c>
      <c r="AB35" s="123" t="s">
        <v>506</v>
      </c>
      <c r="AC35" s="133">
        <v>7.0000000000000007E-2</v>
      </c>
      <c r="AD35" s="124">
        <v>-0.1</v>
      </c>
      <c r="AE35" s="137"/>
      <c r="AF35" s="125"/>
      <c r="AG35" s="88" t="s">
        <v>354</v>
      </c>
      <c r="AJ35" s="125"/>
      <c r="AL35" s="125"/>
      <c r="AM35" s="126" t="s">
        <v>644</v>
      </c>
      <c r="AN35" s="113"/>
      <c r="AO35" s="339">
        <v>1002401</v>
      </c>
      <c r="AP35" s="339" t="s">
        <v>164</v>
      </c>
      <c r="AQ35" s="340"/>
      <c r="AT35" s="113"/>
      <c r="AU35" s="113"/>
      <c r="AV35" s="113"/>
      <c r="AW35" s="113"/>
      <c r="AX35" s="113"/>
      <c r="AY35" s="113"/>
      <c r="AZ35" s="113"/>
      <c r="BA35" s="113"/>
      <c r="BB35" s="112" t="s">
        <v>427</v>
      </c>
      <c r="BC35" s="148"/>
    </row>
    <row r="36" spans="1:55" ht="13.5" thickBot="1" x14ac:dyDescent="0.25">
      <c r="A36" s="207" t="s">
        <v>535</v>
      </c>
      <c r="B36" s="26" t="str">
        <f t="shared" ref="B36:B41" si="0">IF(Pallet_Ship=TRUE,PiecesPerPallet*PalletsPerContainer,IF(AK46&gt;0,AK46,""))</f>
        <v/>
      </c>
      <c r="C36" s="67">
        <f t="shared" ref="C36:C41" si="1">IF(Mstr_Pk=0,0,IF(AND(Mstr_Wt_lb&gt;0),B36/Mstr_Pk*Mstr_Wt_lb,B36/Mstr_Pk*Mstr_Wt_kg*2.20462262))</f>
        <v>0</v>
      </c>
      <c r="D36" s="208" t="s">
        <v>35</v>
      </c>
      <c r="E36" s="209"/>
      <c r="F36" s="72">
        <f>IF(F35=0,0,(F35-F34)/F35)</f>
        <v>0</v>
      </c>
      <c r="G36" s="457"/>
      <c r="H36" s="458"/>
      <c r="I36" s="458"/>
      <c r="J36" s="458"/>
      <c r="K36" s="458"/>
      <c r="L36" s="458"/>
      <c r="M36" s="458"/>
      <c r="N36" s="458"/>
      <c r="O36" s="458"/>
      <c r="P36" s="459"/>
      <c r="R36" s="126">
        <v>34</v>
      </c>
      <c r="S36" s="306" t="s">
        <v>351</v>
      </c>
      <c r="T36" s="306" t="s">
        <v>998</v>
      </c>
      <c r="U36" s="323">
        <v>1.7758075</v>
      </c>
      <c r="V36" s="323">
        <v>2.8892920000000002</v>
      </c>
      <c r="W36" s="322" t="s">
        <v>368</v>
      </c>
      <c r="X36" s="383">
        <v>2.8583333333333329</v>
      </c>
      <c r="Y36" s="383">
        <v>3.5653333333333332</v>
      </c>
      <c r="Z36" s="322">
        <v>3.3258074999999998</v>
      </c>
      <c r="AA36" s="322">
        <v>4.3083333333333327</v>
      </c>
      <c r="AB36" s="307" t="s">
        <v>506</v>
      </c>
      <c r="AC36" s="308">
        <v>7.0000000000000007E-2</v>
      </c>
      <c r="AD36" s="124"/>
      <c r="AE36" s="137"/>
      <c r="AF36" s="125"/>
      <c r="AG36" s="96" t="s">
        <v>342</v>
      </c>
      <c r="AH36" s="206" t="s">
        <v>344</v>
      </c>
      <c r="AI36" s="206" t="s">
        <v>343</v>
      </c>
      <c r="AJ36" s="206" t="s">
        <v>345</v>
      </c>
      <c r="AL36" s="125"/>
      <c r="AM36" s="126" t="s">
        <v>645</v>
      </c>
      <c r="AN36" s="113"/>
      <c r="AO36" s="339">
        <v>1008671</v>
      </c>
      <c r="AP36" s="339" t="s">
        <v>164</v>
      </c>
      <c r="AQ36" s="340"/>
      <c r="AT36" s="113"/>
      <c r="AU36" s="113"/>
      <c r="AV36" s="113"/>
      <c r="AW36" s="113"/>
      <c r="AX36" s="113"/>
      <c r="AY36" s="113"/>
      <c r="AZ36" s="113"/>
      <c r="BA36" s="113"/>
      <c r="BB36" s="112" t="s">
        <v>428</v>
      </c>
      <c r="BC36" s="148"/>
    </row>
    <row r="37" spans="1:55" ht="13.5" thickBot="1" x14ac:dyDescent="0.25">
      <c r="A37" s="207" t="s">
        <v>536</v>
      </c>
      <c r="B37" s="26" t="str">
        <f t="shared" si="0"/>
        <v/>
      </c>
      <c r="C37" s="67">
        <f t="shared" si="1"/>
        <v>0</v>
      </c>
      <c r="D37" s="211"/>
      <c r="G37" s="457"/>
      <c r="H37" s="458"/>
      <c r="I37" s="458"/>
      <c r="J37" s="458"/>
      <c r="K37" s="458"/>
      <c r="L37" s="458"/>
      <c r="M37" s="458"/>
      <c r="N37" s="458"/>
      <c r="O37" s="458"/>
      <c r="P37" s="459"/>
      <c r="R37" s="126">
        <v>35</v>
      </c>
      <c r="S37" s="132" t="s">
        <v>350</v>
      </c>
      <c r="T37" s="132" t="s">
        <v>333</v>
      </c>
      <c r="U37" s="316">
        <v>2.1687662500000005</v>
      </c>
      <c r="V37" s="316">
        <v>3.3260260000000006</v>
      </c>
      <c r="W37" s="126" t="s">
        <v>368</v>
      </c>
      <c r="X37" s="316">
        <v>2.6620000000000004</v>
      </c>
      <c r="Y37" s="316">
        <v>3.496</v>
      </c>
      <c r="Z37" s="315">
        <v>3.7187662500000007</v>
      </c>
      <c r="AA37" s="315">
        <v>4.1120000000000001</v>
      </c>
      <c r="AB37" s="123" t="s">
        <v>506</v>
      </c>
      <c r="AC37" s="133">
        <v>7.0000000000000007E-2</v>
      </c>
      <c r="AD37" s="124">
        <v>-0.1</v>
      </c>
      <c r="AE37" s="137"/>
      <c r="AF37" s="125"/>
      <c r="AG37" s="288" t="s">
        <v>535</v>
      </c>
      <c r="AH37" s="300">
        <v>38940</v>
      </c>
      <c r="AI37" s="300">
        <v>47000</v>
      </c>
      <c r="AJ37" s="210">
        <f t="shared" ref="AJ37" si="2">IF($AI$33="DCL",AI37,AH37)</f>
        <v>38940</v>
      </c>
      <c r="AL37" s="125"/>
      <c r="AM37" s="126" t="s">
        <v>646</v>
      </c>
      <c r="AN37" s="113"/>
      <c r="AO37" s="339">
        <v>5000200</v>
      </c>
      <c r="AP37" s="339" t="s">
        <v>164</v>
      </c>
      <c r="AQ37" s="340"/>
      <c r="AT37" s="113"/>
      <c r="AU37" s="113"/>
      <c r="AV37" s="113"/>
      <c r="AW37" s="113"/>
      <c r="AX37" s="113"/>
      <c r="AY37" s="113"/>
      <c r="AZ37" s="113"/>
      <c r="BA37" s="113"/>
      <c r="BB37" s="112" t="s">
        <v>429</v>
      </c>
      <c r="BC37" s="148"/>
    </row>
    <row r="38" spans="1:55" x14ac:dyDescent="0.2">
      <c r="A38" s="212" t="s">
        <v>537</v>
      </c>
      <c r="B38" s="26" t="str">
        <f t="shared" si="0"/>
        <v/>
      </c>
      <c r="C38" s="304">
        <f t="shared" si="1"/>
        <v>0</v>
      </c>
      <c r="D38" s="477" t="s">
        <v>561</v>
      </c>
      <c r="E38" s="478"/>
      <c r="F38" s="479"/>
      <c r="G38" s="457"/>
      <c r="H38" s="458"/>
      <c r="I38" s="458"/>
      <c r="J38" s="458"/>
      <c r="K38" s="458"/>
      <c r="L38" s="458"/>
      <c r="M38" s="458"/>
      <c r="N38" s="458"/>
      <c r="O38" s="458"/>
      <c r="P38" s="459"/>
      <c r="R38" s="126">
        <v>36</v>
      </c>
      <c r="S38" s="132" t="s">
        <v>350</v>
      </c>
      <c r="T38" s="132" t="s">
        <v>237</v>
      </c>
      <c r="U38" s="316">
        <v>1.8975000000000004</v>
      </c>
      <c r="V38" s="316">
        <v>2.8920000000000008</v>
      </c>
      <c r="W38" s="126" t="s">
        <v>368</v>
      </c>
      <c r="X38" s="316">
        <v>2.3220000000000001</v>
      </c>
      <c r="Y38" s="316">
        <v>2.9520000000000004</v>
      </c>
      <c r="Z38" s="315">
        <v>3.4475000000000007</v>
      </c>
      <c r="AA38" s="315">
        <v>3.7720000000000002</v>
      </c>
      <c r="AB38" s="123" t="s">
        <v>506</v>
      </c>
      <c r="AC38" s="133">
        <v>7.0000000000000007E-2</v>
      </c>
      <c r="AD38" s="124">
        <v>-0.1</v>
      </c>
      <c r="AE38" s="137"/>
      <c r="AF38" s="125"/>
      <c r="AG38" s="288" t="s">
        <v>536</v>
      </c>
      <c r="AH38" s="300">
        <v>43890</v>
      </c>
      <c r="AI38" s="300">
        <v>47000</v>
      </c>
      <c r="AJ38" s="210">
        <f>IF($AI$33="DCL",AI38,AH38)</f>
        <v>43890</v>
      </c>
      <c r="AL38" s="125"/>
      <c r="AM38" s="126" t="s">
        <v>647</v>
      </c>
      <c r="AN38" s="113"/>
      <c r="AO38" s="339">
        <v>761760</v>
      </c>
      <c r="AP38" s="339" t="s">
        <v>683</v>
      </c>
      <c r="AQ38" s="340" t="s">
        <v>681</v>
      </c>
      <c r="AT38" s="113"/>
      <c r="AU38" s="113"/>
      <c r="AV38" s="113"/>
      <c r="AW38" s="113"/>
      <c r="AX38" s="113"/>
      <c r="AY38" s="113"/>
      <c r="AZ38" s="113"/>
      <c r="BA38" s="113"/>
      <c r="BB38" s="112" t="s">
        <v>430</v>
      </c>
      <c r="BC38" s="148"/>
    </row>
    <row r="39" spans="1:55" x14ac:dyDescent="0.2">
      <c r="A39" s="207" t="s">
        <v>538</v>
      </c>
      <c r="B39" s="26" t="str">
        <f t="shared" si="0"/>
        <v/>
      </c>
      <c r="C39" s="304">
        <f t="shared" si="1"/>
        <v>0</v>
      </c>
      <c r="D39" s="480"/>
      <c r="E39" s="481"/>
      <c r="F39" s="482"/>
      <c r="G39" s="457"/>
      <c r="H39" s="458"/>
      <c r="I39" s="458"/>
      <c r="J39" s="458"/>
      <c r="K39" s="458"/>
      <c r="L39" s="458"/>
      <c r="M39" s="458"/>
      <c r="N39" s="458"/>
      <c r="O39" s="458"/>
      <c r="P39" s="459"/>
      <c r="R39" s="126">
        <v>37</v>
      </c>
      <c r="S39" s="286" t="s">
        <v>351</v>
      </c>
      <c r="T39" s="132" t="s">
        <v>513</v>
      </c>
      <c r="U39" s="316">
        <v>1.6300000000000001</v>
      </c>
      <c r="V39" s="316">
        <v>2.66</v>
      </c>
      <c r="W39" s="126" t="s">
        <v>368</v>
      </c>
      <c r="X39" s="316">
        <v>2.7800000000000002</v>
      </c>
      <c r="Y39" s="316">
        <v>3.44</v>
      </c>
      <c r="Z39" s="315">
        <v>3.18</v>
      </c>
      <c r="AA39" s="315">
        <v>4.2300000000000004</v>
      </c>
      <c r="AB39" s="123" t="s">
        <v>506</v>
      </c>
      <c r="AC39" s="133">
        <v>7.0000000000000007E-2</v>
      </c>
      <c r="AD39" s="124">
        <v>-0.1</v>
      </c>
      <c r="AE39" s="137"/>
      <c r="AF39" s="125"/>
      <c r="AG39" s="289" t="s">
        <v>537</v>
      </c>
      <c r="AH39" s="300">
        <v>43890</v>
      </c>
      <c r="AI39" s="300">
        <v>47000</v>
      </c>
      <c r="AJ39" s="210">
        <f>IF($AI$33="DCL",AI39,AH39)</f>
        <v>43890</v>
      </c>
      <c r="AL39" s="125"/>
      <c r="AM39" s="126" t="s">
        <v>648</v>
      </c>
      <c r="AN39" s="113"/>
      <c r="AO39" s="339">
        <v>1006803</v>
      </c>
      <c r="AP39" s="339" t="s">
        <v>683</v>
      </c>
      <c r="AQ39" s="340" t="s">
        <v>681</v>
      </c>
      <c r="AT39" s="113"/>
      <c r="AU39" s="113"/>
      <c r="AV39" s="113"/>
      <c r="AW39" s="113"/>
      <c r="AX39" s="113"/>
      <c r="AY39" s="113"/>
      <c r="AZ39" s="113"/>
      <c r="BA39" s="113"/>
      <c r="BB39" s="112" t="s">
        <v>666</v>
      </c>
      <c r="BC39" s="148"/>
    </row>
    <row r="40" spans="1:55" ht="13.5" thickBot="1" x14ac:dyDescent="0.25">
      <c r="A40" s="190" t="s">
        <v>221</v>
      </c>
      <c r="B40" s="26" t="str">
        <f t="shared" si="0"/>
        <v/>
      </c>
      <c r="C40" s="304">
        <f t="shared" si="1"/>
        <v>0</v>
      </c>
      <c r="D40" s="483"/>
      <c r="E40" s="484"/>
      <c r="F40" s="485"/>
      <c r="G40" s="457"/>
      <c r="H40" s="458"/>
      <c r="I40" s="458"/>
      <c r="J40" s="458"/>
      <c r="K40" s="458"/>
      <c r="L40" s="458"/>
      <c r="M40" s="458"/>
      <c r="N40" s="458"/>
      <c r="O40" s="458"/>
      <c r="P40" s="459"/>
      <c r="R40" s="122">
        <v>38</v>
      </c>
      <c r="S40" s="132" t="s">
        <v>350</v>
      </c>
      <c r="T40" s="132" t="s">
        <v>241</v>
      </c>
      <c r="U40" s="316">
        <v>2.41</v>
      </c>
      <c r="V40" s="316">
        <v>3.7120000000000002</v>
      </c>
      <c r="W40" s="126" t="s">
        <v>368</v>
      </c>
      <c r="X40" s="316">
        <v>2.4720000000000004</v>
      </c>
      <c r="Y40" s="316">
        <v>3.1920000000000002</v>
      </c>
      <c r="Z40" s="315">
        <v>3.96</v>
      </c>
      <c r="AA40" s="315">
        <v>3.9220000000000006</v>
      </c>
      <c r="AB40" s="123" t="s">
        <v>506</v>
      </c>
      <c r="AC40" s="133">
        <v>7.0000000000000007E-2</v>
      </c>
      <c r="AD40" s="124">
        <v>-0.1</v>
      </c>
      <c r="AE40" s="137"/>
      <c r="AF40" s="125"/>
      <c r="AG40" s="288" t="s">
        <v>538</v>
      </c>
      <c r="AH40" s="300">
        <v>43890</v>
      </c>
      <c r="AI40" s="300">
        <v>47000</v>
      </c>
      <c r="AJ40" s="210">
        <f>IF($AI$33="DCL",AI40,AH40)</f>
        <v>43890</v>
      </c>
      <c r="AL40" s="125"/>
      <c r="AM40" s="126" t="s">
        <v>649</v>
      </c>
      <c r="AN40" s="113"/>
      <c r="AO40" s="339">
        <v>1005923</v>
      </c>
      <c r="AP40" s="339" t="s">
        <v>684</v>
      </c>
      <c r="AQ40" s="340" t="s">
        <v>681</v>
      </c>
      <c r="AT40" s="113"/>
      <c r="AU40" s="113"/>
      <c r="AV40" s="113"/>
      <c r="AW40" s="113"/>
      <c r="AX40" s="113"/>
      <c r="AY40" s="113"/>
      <c r="AZ40" s="113"/>
      <c r="BA40" s="113"/>
      <c r="BB40" s="112" t="s">
        <v>432</v>
      </c>
      <c r="BC40" s="148"/>
    </row>
    <row r="41" spans="1:55" x14ac:dyDescent="0.2">
      <c r="A41" s="190" t="s">
        <v>222</v>
      </c>
      <c r="B41" s="26" t="str">
        <f t="shared" si="0"/>
        <v/>
      </c>
      <c r="C41" s="67">
        <f t="shared" si="1"/>
        <v>0</v>
      </c>
      <c r="D41" s="213"/>
      <c r="E41" s="80"/>
      <c r="F41" s="129"/>
      <c r="G41" s="457"/>
      <c r="H41" s="458"/>
      <c r="I41" s="458"/>
      <c r="J41" s="458"/>
      <c r="K41" s="458"/>
      <c r="L41" s="458"/>
      <c r="M41" s="458"/>
      <c r="N41" s="458"/>
      <c r="O41" s="458"/>
      <c r="P41" s="459"/>
      <c r="R41" s="126">
        <v>39</v>
      </c>
      <c r="S41" s="132" t="s">
        <v>350</v>
      </c>
      <c r="T41" s="132" t="s">
        <v>230</v>
      </c>
      <c r="U41" s="316">
        <v>2.5000000000000004</v>
      </c>
      <c r="V41" s="316">
        <v>3.8560000000000012</v>
      </c>
      <c r="W41" s="126" t="s">
        <v>368</v>
      </c>
      <c r="X41" s="316">
        <v>2.4720000000000004</v>
      </c>
      <c r="Y41" s="316">
        <v>3.1920000000000002</v>
      </c>
      <c r="Z41" s="315">
        <v>4.0500000000000007</v>
      </c>
      <c r="AA41" s="315">
        <v>3.9220000000000006</v>
      </c>
      <c r="AB41" s="123" t="s">
        <v>506</v>
      </c>
      <c r="AC41" s="133">
        <v>7.0000000000000007E-2</v>
      </c>
      <c r="AD41" s="124">
        <v>-0.1</v>
      </c>
      <c r="AE41" s="137"/>
      <c r="AF41" s="125"/>
      <c r="AG41" s="290" t="s">
        <v>221</v>
      </c>
      <c r="AH41" s="300">
        <v>38940</v>
      </c>
      <c r="AI41" s="300">
        <v>47000</v>
      </c>
      <c r="AJ41" s="210">
        <f>IF($AI$33="DCL",AI41,AH41)</f>
        <v>38940</v>
      </c>
      <c r="AL41" s="125"/>
      <c r="AM41" s="126" t="s">
        <v>650</v>
      </c>
      <c r="AN41" s="113"/>
      <c r="AO41" s="339">
        <v>1004823</v>
      </c>
      <c r="AP41" s="339" t="s">
        <v>177</v>
      </c>
      <c r="AQ41" s="340"/>
      <c r="AT41" s="113"/>
      <c r="AU41" s="113"/>
      <c r="AV41" s="113"/>
      <c r="AW41" s="113"/>
      <c r="AX41" s="113"/>
      <c r="AY41" s="113"/>
      <c r="AZ41" s="113"/>
      <c r="BA41" s="113"/>
      <c r="BB41" s="112" t="s">
        <v>667</v>
      </c>
      <c r="BC41" s="148"/>
    </row>
    <row r="42" spans="1:55" ht="13.5" thickBot="1" x14ac:dyDescent="0.25">
      <c r="C42" s="129"/>
      <c r="D42" s="129"/>
      <c r="E42" s="129"/>
      <c r="F42" s="129"/>
      <c r="G42" s="457"/>
      <c r="H42" s="458"/>
      <c r="I42" s="458"/>
      <c r="J42" s="458"/>
      <c r="K42" s="458"/>
      <c r="L42" s="458"/>
      <c r="M42" s="458"/>
      <c r="N42" s="458"/>
      <c r="O42" s="458"/>
      <c r="P42" s="459"/>
      <c r="R42" s="126">
        <v>40</v>
      </c>
      <c r="S42" s="132" t="s">
        <v>350</v>
      </c>
      <c r="T42" s="132" t="s">
        <v>121</v>
      </c>
      <c r="U42" s="316">
        <v>1.8966750000000006</v>
      </c>
      <c r="V42" s="316">
        <v>2.890680000000001</v>
      </c>
      <c r="W42" s="315" t="s">
        <v>368</v>
      </c>
      <c r="X42" s="316">
        <v>2.2345000000000002</v>
      </c>
      <c r="Y42" s="316">
        <v>2.8120000000000003</v>
      </c>
      <c r="Z42" s="315">
        <v>3.4466750000000008</v>
      </c>
      <c r="AA42" s="315">
        <v>3.6844999999999999</v>
      </c>
      <c r="AB42" s="123" t="s">
        <v>506</v>
      </c>
      <c r="AC42" s="133">
        <v>7.0000000000000007E-2</v>
      </c>
      <c r="AD42" s="124">
        <v>-0.1</v>
      </c>
      <c r="AE42" s="137"/>
      <c r="AF42" s="125"/>
      <c r="AG42" s="290" t="s">
        <v>222</v>
      </c>
      <c r="AH42" s="300">
        <v>43890</v>
      </c>
      <c r="AI42" s="300">
        <v>47000</v>
      </c>
      <c r="AJ42" s="210">
        <f>IF($AI$33="DCL",AI42,AH42)</f>
        <v>43890</v>
      </c>
      <c r="AL42" s="125"/>
      <c r="AM42" s="126" t="s">
        <v>651</v>
      </c>
      <c r="AN42" s="113"/>
      <c r="AO42" s="339">
        <v>1007260</v>
      </c>
      <c r="AP42" s="339" t="s">
        <v>591</v>
      </c>
      <c r="AQ42" s="340" t="s">
        <v>678</v>
      </c>
      <c r="AT42" s="113"/>
      <c r="AU42" s="113"/>
      <c r="AV42" s="113"/>
      <c r="AW42" s="113"/>
      <c r="AX42" s="113"/>
      <c r="AY42" s="113"/>
      <c r="AZ42" s="113"/>
      <c r="BA42" s="113"/>
      <c r="BB42" s="112" t="s">
        <v>433</v>
      </c>
      <c r="BC42" s="148"/>
    </row>
    <row r="43" spans="1:55" ht="12.75" customHeight="1" x14ac:dyDescent="0.2">
      <c r="A43" s="430" t="s">
        <v>975</v>
      </c>
      <c r="B43" s="431"/>
      <c r="C43" s="431"/>
      <c r="D43" s="431"/>
      <c r="E43" s="431"/>
      <c r="F43" s="431"/>
      <c r="G43" s="457"/>
      <c r="H43" s="458"/>
      <c r="I43" s="458"/>
      <c r="J43" s="458"/>
      <c r="K43" s="458"/>
      <c r="L43" s="458"/>
      <c r="M43" s="458"/>
      <c r="N43" s="458"/>
      <c r="O43" s="458"/>
      <c r="P43" s="459"/>
      <c r="R43" s="126">
        <v>41</v>
      </c>
      <c r="S43" s="132" t="s">
        <v>350</v>
      </c>
      <c r="T43" s="132" t="s">
        <v>128</v>
      </c>
      <c r="U43" s="316">
        <v>1.9062750000000004</v>
      </c>
      <c r="V43" s="316">
        <v>2.9060400000000008</v>
      </c>
      <c r="W43" s="126" t="s">
        <v>368</v>
      </c>
      <c r="X43" s="316">
        <v>2.2795000000000005</v>
      </c>
      <c r="Y43" s="316">
        <v>2.8840000000000003</v>
      </c>
      <c r="Z43" s="315">
        <v>3.4562750000000007</v>
      </c>
      <c r="AA43" s="315">
        <v>3.7295000000000007</v>
      </c>
      <c r="AB43" s="123" t="s">
        <v>506</v>
      </c>
      <c r="AC43" s="133">
        <v>7.0000000000000007E-2</v>
      </c>
      <c r="AD43" s="124">
        <v>-0.1</v>
      </c>
      <c r="AE43" s="137"/>
      <c r="AF43" s="125"/>
      <c r="AG43" s="125"/>
      <c r="AH43" s="125"/>
      <c r="AI43" s="125"/>
      <c r="AJ43" s="125"/>
      <c r="AK43" s="125"/>
      <c r="AL43" s="125"/>
      <c r="AM43" s="126" t="s">
        <v>652</v>
      </c>
      <c r="AN43" s="113"/>
      <c r="AO43" s="339">
        <v>679120</v>
      </c>
      <c r="AP43" s="339" t="s">
        <v>166</v>
      </c>
      <c r="AQ43" s="340"/>
      <c r="AT43" s="113"/>
      <c r="AU43" s="113"/>
      <c r="AV43" s="113"/>
      <c r="AW43" s="113"/>
      <c r="AX43" s="113"/>
      <c r="AY43" s="113"/>
      <c r="AZ43" s="113"/>
      <c r="BA43" s="113"/>
      <c r="BB43" s="112" t="s">
        <v>434</v>
      </c>
      <c r="BC43" s="148"/>
    </row>
    <row r="44" spans="1:55" x14ac:dyDescent="0.2">
      <c r="A44" s="432"/>
      <c r="B44" s="433"/>
      <c r="C44" s="433"/>
      <c r="D44" s="433"/>
      <c r="E44" s="433"/>
      <c r="F44" s="433"/>
      <c r="G44" s="457"/>
      <c r="H44" s="458"/>
      <c r="I44" s="458"/>
      <c r="J44" s="458"/>
      <c r="K44" s="458"/>
      <c r="L44" s="458"/>
      <c r="M44" s="458"/>
      <c r="N44" s="458"/>
      <c r="O44" s="458"/>
      <c r="P44" s="459"/>
      <c r="R44" s="126">
        <v>42</v>
      </c>
      <c r="S44" s="132" t="s">
        <v>350</v>
      </c>
      <c r="T44" s="132" t="s">
        <v>229</v>
      </c>
      <c r="U44" s="316">
        <v>1.9532750000000005</v>
      </c>
      <c r="V44" s="316">
        <v>2.981240000000001</v>
      </c>
      <c r="W44" s="126" t="s">
        <v>368</v>
      </c>
      <c r="X44" s="316">
        <v>2.2595000000000001</v>
      </c>
      <c r="Y44" s="316">
        <v>2.8520000000000003</v>
      </c>
      <c r="Z44" s="315">
        <v>3.5032750000000004</v>
      </c>
      <c r="AA44" s="315">
        <v>3.7095000000000002</v>
      </c>
      <c r="AB44" s="123" t="s">
        <v>506</v>
      </c>
      <c r="AC44" s="133">
        <v>7.0000000000000007E-2</v>
      </c>
      <c r="AD44" s="124">
        <v>-0.1</v>
      </c>
      <c r="AE44" s="137"/>
      <c r="AF44" s="125"/>
      <c r="AG44" s="125"/>
      <c r="AH44" s="125"/>
      <c r="AI44" s="125"/>
      <c r="AJ44" s="125"/>
      <c r="AK44" s="125"/>
      <c r="AL44" s="125"/>
      <c r="AM44" s="126" t="s">
        <v>653</v>
      </c>
      <c r="AN44" s="113"/>
      <c r="AO44" s="339">
        <v>1007192</v>
      </c>
      <c r="AP44" s="339" t="s">
        <v>685</v>
      </c>
      <c r="AQ44" s="340" t="s">
        <v>681</v>
      </c>
      <c r="AT44" s="113"/>
      <c r="AU44" s="113"/>
      <c r="AV44" s="113"/>
      <c r="AW44" s="113"/>
      <c r="AX44" s="113"/>
      <c r="AY44" s="113"/>
      <c r="AZ44" s="113"/>
      <c r="BA44" s="113"/>
      <c r="BB44" s="112" t="s">
        <v>671</v>
      </c>
      <c r="BC44" s="148"/>
    </row>
    <row r="45" spans="1:55" ht="42" customHeight="1" thickBot="1" x14ac:dyDescent="0.25">
      <c r="A45" s="434"/>
      <c r="B45" s="435"/>
      <c r="C45" s="435"/>
      <c r="D45" s="435"/>
      <c r="E45" s="435"/>
      <c r="F45" s="435"/>
      <c r="G45" s="460"/>
      <c r="H45" s="461"/>
      <c r="I45" s="461"/>
      <c r="J45" s="461"/>
      <c r="K45" s="461"/>
      <c r="L45" s="461"/>
      <c r="M45" s="461"/>
      <c r="N45" s="461"/>
      <c r="O45" s="461"/>
      <c r="P45" s="462"/>
      <c r="R45" s="122">
        <v>43</v>
      </c>
      <c r="S45" s="132" t="s">
        <v>350</v>
      </c>
      <c r="T45" s="132" t="s">
        <v>127</v>
      </c>
      <c r="U45" s="316">
        <v>1.9573499999999999</v>
      </c>
      <c r="V45" s="316">
        <v>2.9877600000000002</v>
      </c>
      <c r="W45" s="315" t="s">
        <v>368</v>
      </c>
      <c r="X45" s="316">
        <v>2.2720000000000002</v>
      </c>
      <c r="Y45" s="316">
        <v>2.8720000000000003</v>
      </c>
      <c r="Z45" s="315">
        <v>3.5073499999999997</v>
      </c>
      <c r="AA45" s="315">
        <v>3.7220000000000004</v>
      </c>
      <c r="AB45" s="123" t="s">
        <v>506</v>
      </c>
      <c r="AC45" s="133">
        <v>7.0000000000000007E-2</v>
      </c>
      <c r="AD45" s="124">
        <v>-0.1</v>
      </c>
      <c r="AE45" s="137"/>
      <c r="AF45" s="125"/>
      <c r="AG45" s="96" t="s">
        <v>528</v>
      </c>
      <c r="AH45" s="206" t="s">
        <v>529</v>
      </c>
      <c r="AI45" s="206" t="s">
        <v>530</v>
      </c>
      <c r="AJ45" s="206" t="s">
        <v>531</v>
      </c>
      <c r="AK45" s="282" t="s">
        <v>532</v>
      </c>
      <c r="AL45" s="125"/>
      <c r="AM45" s="126" t="s">
        <v>654</v>
      </c>
      <c r="AN45" s="113"/>
      <c r="AO45" s="339">
        <v>1007283</v>
      </c>
      <c r="AP45" s="339" t="s">
        <v>186</v>
      </c>
      <c r="AQ45" s="340"/>
      <c r="AT45" s="113"/>
      <c r="AU45" s="113"/>
      <c r="AV45" s="113"/>
      <c r="AW45" s="113"/>
      <c r="AX45" s="113"/>
      <c r="AY45" s="113"/>
      <c r="AZ45" s="113"/>
      <c r="BA45" s="113"/>
      <c r="BB45" s="112" t="s">
        <v>672</v>
      </c>
      <c r="BC45" s="148"/>
    </row>
    <row r="46" spans="1:55" x14ac:dyDescent="0.2">
      <c r="G46" s="80"/>
      <c r="H46" s="80"/>
      <c r="I46" s="80"/>
      <c r="J46" s="80"/>
      <c r="K46" s="80"/>
      <c r="L46" s="80"/>
      <c r="M46" s="80"/>
      <c r="N46" s="80"/>
      <c r="O46" s="80"/>
      <c r="P46" s="80"/>
      <c r="R46" s="126">
        <v>44</v>
      </c>
      <c r="S46" s="132" t="s">
        <v>351</v>
      </c>
      <c r="T46" s="132" t="s">
        <v>514</v>
      </c>
      <c r="U46" s="316">
        <v>2.3385175</v>
      </c>
      <c r="V46" s="316">
        <v>3.789628</v>
      </c>
      <c r="W46" s="315" t="s">
        <v>368</v>
      </c>
      <c r="X46" s="318">
        <v>3.2132499999999999</v>
      </c>
      <c r="Y46" s="318">
        <v>4.1332000000000004</v>
      </c>
      <c r="Z46" s="315">
        <v>3.8885174999999998</v>
      </c>
      <c r="AA46" s="315">
        <v>4.6632499999999997</v>
      </c>
      <c r="AB46" s="123" t="s">
        <v>506</v>
      </c>
      <c r="AC46" s="133">
        <v>7.0000000000000007E-2</v>
      </c>
      <c r="AD46" s="124">
        <v>-0.1</v>
      </c>
      <c r="AE46" s="137"/>
      <c r="AF46" s="125"/>
      <c r="AG46" s="291" t="s">
        <v>540</v>
      </c>
      <c r="AH46" s="301">
        <v>1050</v>
      </c>
      <c r="AI46" s="210" t="e">
        <f t="shared" ref="AI46:AI51" si="3">AH46/Carton_Cube</f>
        <v>#DIV/0!</v>
      </c>
      <c r="AJ46" s="210" t="e">
        <f t="shared" ref="AJ46:AJ51" si="4">AI46*Mstr_Pk</f>
        <v>#DIV/0!</v>
      </c>
      <c r="AK46" s="283" t="str">
        <f t="shared" ref="AK46:AK51" si="5">IF(ISERROR(AI46),"",IF($AH$26*AI46&gt;AJ37,ROUNDDOWN(AJ37/$AH$26,1)*Mstr_Pk,AJ46))</f>
        <v/>
      </c>
      <c r="AL46" s="125"/>
      <c r="AM46" s="126" t="s">
        <v>655</v>
      </c>
      <c r="AN46" s="113"/>
      <c r="AO46" s="339">
        <v>1005550</v>
      </c>
      <c r="AP46" s="339" t="s">
        <v>518</v>
      </c>
      <c r="AQ46" s="340">
        <v>41583</v>
      </c>
      <c r="AT46" s="113"/>
      <c r="AU46" s="113"/>
      <c r="AV46" s="113"/>
      <c r="AW46" s="113"/>
      <c r="AX46" s="113"/>
      <c r="AY46" s="113"/>
      <c r="AZ46" s="113"/>
      <c r="BA46" s="113"/>
      <c r="BB46" s="112" t="s">
        <v>435</v>
      </c>
      <c r="BC46" s="148"/>
    </row>
    <row r="47" spans="1:55" x14ac:dyDescent="0.2">
      <c r="A47" s="213"/>
      <c r="B47" s="213"/>
      <c r="C47" s="213"/>
      <c r="D47" s="213"/>
      <c r="E47" s="129"/>
      <c r="F47" s="80"/>
      <c r="J47" s="214"/>
      <c r="K47" s="214"/>
      <c r="L47" s="214"/>
      <c r="M47" s="214"/>
      <c r="N47" s="214"/>
      <c r="O47" s="214"/>
      <c r="R47" s="126">
        <v>45</v>
      </c>
      <c r="S47" s="132" t="s">
        <v>351</v>
      </c>
      <c r="T47" s="132" t="s">
        <v>515</v>
      </c>
      <c r="U47" s="316">
        <v>2.1885174999999997</v>
      </c>
      <c r="V47" s="316">
        <v>3.5496280000000002</v>
      </c>
      <c r="W47" s="315" t="s">
        <v>368</v>
      </c>
      <c r="X47" s="318">
        <v>3.02</v>
      </c>
      <c r="Y47" s="318">
        <v>3.8239999999999998</v>
      </c>
      <c r="Z47" s="315">
        <v>3.7385174999999995</v>
      </c>
      <c r="AA47" s="315">
        <v>4.47</v>
      </c>
      <c r="AB47" s="123" t="s">
        <v>506</v>
      </c>
      <c r="AC47" s="133">
        <v>7.0000000000000007E-2</v>
      </c>
      <c r="AD47" s="124">
        <v>-0.1</v>
      </c>
      <c r="AE47" s="137"/>
      <c r="AF47" s="125"/>
      <c r="AG47" s="291" t="s">
        <v>541</v>
      </c>
      <c r="AH47" s="301">
        <v>2300</v>
      </c>
      <c r="AI47" s="210" t="e">
        <f t="shared" si="3"/>
        <v>#DIV/0!</v>
      </c>
      <c r="AJ47" s="210" t="e">
        <f t="shared" si="4"/>
        <v>#DIV/0!</v>
      </c>
      <c r="AK47" s="283" t="str">
        <f t="shared" si="5"/>
        <v/>
      </c>
      <c r="AL47" s="125"/>
      <c r="AM47" s="112" t="s">
        <v>656</v>
      </c>
      <c r="AN47" s="113"/>
      <c r="AO47" s="339">
        <v>1010379</v>
      </c>
      <c r="AP47" s="339" t="s">
        <v>197</v>
      </c>
      <c r="AQ47" s="340"/>
      <c r="AT47" s="113"/>
      <c r="AU47" s="113"/>
      <c r="AV47" s="113"/>
      <c r="AW47" s="113"/>
      <c r="AX47" s="113"/>
      <c r="AY47" s="113"/>
      <c r="AZ47" s="113"/>
      <c r="BA47" s="113"/>
      <c r="BB47" s="112" t="s">
        <v>436</v>
      </c>
      <c r="BC47" s="148"/>
    </row>
    <row r="48" spans="1:55" x14ac:dyDescent="0.2">
      <c r="J48" s="214"/>
      <c r="K48" s="214"/>
      <c r="L48" s="214"/>
      <c r="M48" s="214"/>
      <c r="N48" s="214"/>
      <c r="O48" s="214"/>
      <c r="R48" s="126">
        <v>46</v>
      </c>
      <c r="S48" s="132" t="s">
        <v>352</v>
      </c>
      <c r="T48" s="132" t="s">
        <v>29</v>
      </c>
      <c r="U48" s="316">
        <v>2.92</v>
      </c>
      <c r="V48" s="316">
        <v>4.5279999999999987</v>
      </c>
      <c r="W48" s="307" t="s">
        <v>368</v>
      </c>
      <c r="X48" s="317">
        <v>3.63</v>
      </c>
      <c r="Y48" s="317">
        <v>5.0779999999999985</v>
      </c>
      <c r="Z48" s="315">
        <v>4.47</v>
      </c>
      <c r="AA48" s="315">
        <v>5.08</v>
      </c>
      <c r="AB48" s="123" t="s">
        <v>506</v>
      </c>
      <c r="AC48" s="133">
        <v>7.0000000000000007E-2</v>
      </c>
      <c r="AD48" s="124">
        <v>-0.1</v>
      </c>
      <c r="AE48" s="137"/>
      <c r="AF48" s="125"/>
      <c r="AG48" s="291" t="s">
        <v>542</v>
      </c>
      <c r="AH48" s="301">
        <v>2600</v>
      </c>
      <c r="AI48" s="210" t="e">
        <f t="shared" si="3"/>
        <v>#DIV/0!</v>
      </c>
      <c r="AJ48" s="210" t="e">
        <f t="shared" si="4"/>
        <v>#DIV/0!</v>
      </c>
      <c r="AK48" s="283" t="str">
        <f t="shared" si="5"/>
        <v/>
      </c>
      <c r="AL48" s="125"/>
      <c r="AM48" s="112" t="s">
        <v>657</v>
      </c>
      <c r="AN48" s="113"/>
      <c r="AO48" s="339">
        <v>227610</v>
      </c>
      <c r="AP48" s="339" t="s">
        <v>386</v>
      </c>
      <c r="AQ48" s="340"/>
      <c r="AT48" s="113"/>
      <c r="AU48" s="113"/>
      <c r="AV48" s="113"/>
      <c r="AW48" s="113"/>
      <c r="AX48" s="113"/>
      <c r="AY48" s="113"/>
      <c r="AZ48" s="113"/>
      <c r="BA48" s="113"/>
      <c r="BB48" s="112" t="s">
        <v>437</v>
      </c>
      <c r="BC48" s="148"/>
    </row>
    <row r="49" spans="2:55" x14ac:dyDescent="0.2">
      <c r="J49" s="214"/>
      <c r="K49" s="214"/>
      <c r="L49" s="214"/>
      <c r="M49" s="214"/>
      <c r="N49" s="214"/>
      <c r="O49" s="214"/>
      <c r="R49" s="126">
        <v>47</v>
      </c>
      <c r="S49" s="286" t="s">
        <v>587</v>
      </c>
      <c r="T49" s="132" t="s">
        <v>73</v>
      </c>
      <c r="U49" s="316">
        <v>2.94</v>
      </c>
      <c r="V49" s="316">
        <v>4.5599999999999987</v>
      </c>
      <c r="W49" s="315" t="s">
        <v>368</v>
      </c>
      <c r="X49" s="317">
        <v>3.65</v>
      </c>
      <c r="Y49" s="317">
        <v>5.1099999999999985</v>
      </c>
      <c r="Z49" s="315" t="s">
        <v>368</v>
      </c>
      <c r="AA49" s="315" t="s">
        <v>368</v>
      </c>
      <c r="AB49" s="123" t="s">
        <v>507</v>
      </c>
      <c r="AC49" s="133">
        <v>7.0000000000000007E-2</v>
      </c>
      <c r="AD49" s="124">
        <v>-0.1</v>
      </c>
      <c r="AE49" s="137"/>
      <c r="AF49" s="125"/>
      <c r="AG49" s="291" t="s">
        <v>543</v>
      </c>
      <c r="AH49" s="301">
        <v>2900</v>
      </c>
      <c r="AI49" s="210" t="e">
        <f t="shared" si="3"/>
        <v>#DIV/0!</v>
      </c>
      <c r="AJ49" s="210" t="e">
        <f t="shared" si="4"/>
        <v>#DIV/0!</v>
      </c>
      <c r="AK49" s="283" t="str">
        <f t="shared" si="5"/>
        <v/>
      </c>
      <c r="AL49" s="125"/>
      <c r="AM49" s="112" t="s">
        <v>658</v>
      </c>
      <c r="AN49" s="113"/>
      <c r="AO49" s="339">
        <v>643440</v>
      </c>
      <c r="AP49" s="339" t="s">
        <v>162</v>
      </c>
      <c r="AQ49" s="340"/>
      <c r="AT49" s="113"/>
      <c r="AU49" s="113"/>
      <c r="AV49" s="113"/>
      <c r="AW49" s="113"/>
      <c r="AX49" s="113"/>
      <c r="AY49" s="113"/>
      <c r="AZ49" s="113"/>
      <c r="BA49" s="113"/>
      <c r="BB49" s="113"/>
      <c r="BC49" s="148"/>
    </row>
    <row r="50" spans="2:55" x14ac:dyDescent="0.2">
      <c r="J50" s="214"/>
      <c r="K50" s="214"/>
      <c r="L50" s="214"/>
      <c r="M50" s="214"/>
      <c r="N50" s="214"/>
      <c r="O50" s="214"/>
      <c r="R50" s="122">
        <v>48</v>
      </c>
      <c r="S50" s="286" t="s">
        <v>587</v>
      </c>
      <c r="T50" s="132" t="s">
        <v>56</v>
      </c>
      <c r="U50" s="316">
        <v>3.0900000000000003</v>
      </c>
      <c r="V50" s="316">
        <v>4.7999999999999989</v>
      </c>
      <c r="W50" s="315" t="s">
        <v>368</v>
      </c>
      <c r="X50" s="317">
        <v>3.8000000000000003</v>
      </c>
      <c r="Y50" s="317">
        <v>5.3499999999999988</v>
      </c>
      <c r="Z50" s="315" t="s">
        <v>368</v>
      </c>
      <c r="AA50" s="315" t="s">
        <v>368</v>
      </c>
      <c r="AB50" s="123" t="s">
        <v>507</v>
      </c>
      <c r="AC50" s="133">
        <v>7.0000000000000007E-2</v>
      </c>
      <c r="AD50" s="124">
        <v>-0.1</v>
      </c>
      <c r="AE50" s="137"/>
      <c r="AF50" s="125"/>
      <c r="AG50" s="291" t="s">
        <v>544</v>
      </c>
      <c r="AH50" s="301">
        <v>900</v>
      </c>
      <c r="AI50" s="210" t="e">
        <f t="shared" si="3"/>
        <v>#DIV/0!</v>
      </c>
      <c r="AJ50" s="210" t="e">
        <f t="shared" si="4"/>
        <v>#DIV/0!</v>
      </c>
      <c r="AK50" s="283" t="str">
        <f t="shared" si="5"/>
        <v/>
      </c>
      <c r="AL50" s="125"/>
      <c r="AM50" s="112" t="s">
        <v>659</v>
      </c>
      <c r="AN50" s="113"/>
      <c r="AO50" s="339">
        <v>911868</v>
      </c>
      <c r="AP50" s="339" t="s">
        <v>169</v>
      </c>
      <c r="AQ50" s="340"/>
      <c r="AT50" s="113"/>
      <c r="AU50" s="113"/>
      <c r="AV50" s="113"/>
      <c r="AW50" s="113"/>
      <c r="AX50" s="113"/>
      <c r="AY50" s="113"/>
      <c r="AZ50" s="113"/>
      <c r="BA50" s="113"/>
      <c r="BB50" s="113"/>
      <c r="BC50" s="148"/>
    </row>
    <row r="51" spans="2:55" x14ac:dyDescent="0.2">
      <c r="J51" s="214"/>
      <c r="K51" s="214"/>
      <c r="L51" s="214"/>
      <c r="M51" s="214"/>
      <c r="N51" s="214"/>
      <c r="O51" s="214"/>
      <c r="R51" s="126">
        <v>49</v>
      </c>
      <c r="S51" s="286" t="s">
        <v>587</v>
      </c>
      <c r="T51" s="132" t="s">
        <v>88</v>
      </c>
      <c r="U51" s="316">
        <v>2.89</v>
      </c>
      <c r="V51" s="316">
        <v>4.4799999999999995</v>
      </c>
      <c r="W51" s="315" t="s">
        <v>368</v>
      </c>
      <c r="X51" s="317">
        <v>3.6</v>
      </c>
      <c r="Y51" s="317">
        <v>5.0299999999999994</v>
      </c>
      <c r="Z51" s="315" t="s">
        <v>368</v>
      </c>
      <c r="AA51" s="315" t="s">
        <v>368</v>
      </c>
      <c r="AB51" s="123" t="s">
        <v>507</v>
      </c>
      <c r="AC51" s="133">
        <v>7.0000000000000007E-2</v>
      </c>
      <c r="AD51" s="124">
        <v>-0.1</v>
      </c>
      <c r="AE51" s="137"/>
      <c r="AF51" s="125"/>
      <c r="AG51" s="291" t="s">
        <v>545</v>
      </c>
      <c r="AH51" s="301">
        <v>2100</v>
      </c>
      <c r="AI51" s="210" t="e">
        <f t="shared" si="3"/>
        <v>#DIV/0!</v>
      </c>
      <c r="AJ51" s="210" t="e">
        <f t="shared" si="4"/>
        <v>#DIV/0!</v>
      </c>
      <c r="AK51" s="283" t="str">
        <f t="shared" si="5"/>
        <v/>
      </c>
      <c r="AL51" s="125"/>
      <c r="AM51" s="112" t="s">
        <v>660</v>
      </c>
      <c r="AN51" s="113"/>
      <c r="AO51" s="339">
        <v>5000179</v>
      </c>
      <c r="AP51" s="339" t="s">
        <v>169</v>
      </c>
      <c r="AQ51" s="340"/>
      <c r="AT51" s="113"/>
      <c r="AU51" s="113"/>
      <c r="AV51" s="113"/>
      <c r="AW51" s="113"/>
      <c r="AX51" s="113"/>
      <c r="AY51" s="113"/>
      <c r="AZ51" s="113"/>
      <c r="BA51" s="113"/>
      <c r="BB51" s="113"/>
      <c r="BC51" s="148"/>
    </row>
    <row r="52" spans="2:55" x14ac:dyDescent="0.2">
      <c r="J52" s="214"/>
      <c r="K52" s="214"/>
      <c r="L52" s="214"/>
      <c r="M52" s="214"/>
      <c r="N52" s="214"/>
      <c r="O52" s="214"/>
      <c r="R52" s="126">
        <v>50</v>
      </c>
      <c r="S52" s="286" t="s">
        <v>587</v>
      </c>
      <c r="T52" s="132" t="s">
        <v>78</v>
      </c>
      <c r="U52" s="316">
        <v>2.8600000000000003</v>
      </c>
      <c r="V52" s="316">
        <v>4.4319999999999995</v>
      </c>
      <c r="W52" s="315">
        <v>2.9400000000000004</v>
      </c>
      <c r="X52" s="317">
        <v>3.5700000000000003</v>
      </c>
      <c r="Y52" s="317">
        <v>4.9819999999999993</v>
      </c>
      <c r="Z52" s="315" t="s">
        <v>368</v>
      </c>
      <c r="AA52" s="315" t="s">
        <v>368</v>
      </c>
      <c r="AB52" s="123" t="s">
        <v>507</v>
      </c>
      <c r="AC52" s="133">
        <v>7.0000000000000007E-2</v>
      </c>
      <c r="AD52" s="124">
        <v>-0.1</v>
      </c>
      <c r="AE52" s="137"/>
      <c r="AF52" s="125"/>
      <c r="AG52" s="125"/>
      <c r="AH52" s="125"/>
      <c r="AI52" s="125"/>
      <c r="AJ52" s="125"/>
      <c r="AK52" s="125"/>
      <c r="AL52" s="125"/>
      <c r="AM52" s="112" t="s">
        <v>661</v>
      </c>
      <c r="AN52" s="113"/>
      <c r="AO52" s="339">
        <v>934487</v>
      </c>
      <c r="AP52" s="339" t="s">
        <v>171</v>
      </c>
      <c r="AQ52" s="340"/>
      <c r="AT52" s="113"/>
      <c r="AU52" s="113"/>
      <c r="AV52" s="113"/>
      <c r="AW52" s="113"/>
      <c r="AX52" s="113"/>
      <c r="AY52" s="113"/>
      <c r="AZ52" s="113"/>
      <c r="BA52" s="113"/>
      <c r="BB52" s="113"/>
      <c r="BC52" s="148"/>
    </row>
    <row r="53" spans="2:55" x14ac:dyDescent="0.2">
      <c r="J53" s="214"/>
      <c r="K53" s="214"/>
      <c r="L53" s="214"/>
      <c r="M53" s="214"/>
      <c r="N53" s="214"/>
      <c r="O53" s="214"/>
      <c r="R53" s="126">
        <v>51</v>
      </c>
      <c r="S53" s="286" t="s">
        <v>587</v>
      </c>
      <c r="T53" s="132" t="s">
        <v>57</v>
      </c>
      <c r="U53" s="316">
        <v>3.0900000000000003</v>
      </c>
      <c r="V53" s="316">
        <v>4.7999999999999989</v>
      </c>
      <c r="W53" s="315" t="s">
        <v>368</v>
      </c>
      <c r="X53" s="317">
        <v>3.8000000000000003</v>
      </c>
      <c r="Y53" s="317">
        <v>5.3499999999999988</v>
      </c>
      <c r="Z53" s="315" t="s">
        <v>368</v>
      </c>
      <c r="AA53" s="315" t="s">
        <v>368</v>
      </c>
      <c r="AB53" s="123" t="s">
        <v>507</v>
      </c>
      <c r="AC53" s="133">
        <v>7.0000000000000007E-2</v>
      </c>
      <c r="AD53" s="124">
        <v>-0.1</v>
      </c>
      <c r="AE53" s="137"/>
      <c r="AF53" s="125"/>
      <c r="AG53" s="125"/>
      <c r="AH53" s="125"/>
      <c r="AI53" s="125"/>
      <c r="AJ53" s="125"/>
      <c r="AK53" s="125"/>
      <c r="AL53" s="125"/>
      <c r="AM53" s="112" t="s">
        <v>662</v>
      </c>
      <c r="AN53" s="113"/>
      <c r="AO53" s="339">
        <v>1004732</v>
      </c>
      <c r="AP53" s="339" t="s">
        <v>171</v>
      </c>
      <c r="AQ53" s="340"/>
      <c r="AT53" s="113"/>
      <c r="AU53" s="113"/>
      <c r="AV53" s="113"/>
      <c r="AW53" s="113"/>
      <c r="AX53" s="113"/>
      <c r="AY53" s="113"/>
      <c r="AZ53" s="113"/>
      <c r="BA53" s="113"/>
      <c r="BB53" s="113"/>
      <c r="BC53" s="148"/>
    </row>
    <row r="54" spans="2:55" x14ac:dyDescent="0.2">
      <c r="B54" s="216"/>
      <c r="C54" s="215"/>
      <c r="D54" s="215"/>
      <c r="E54" s="215"/>
      <c r="F54" s="215"/>
      <c r="G54" s="215"/>
      <c r="H54" s="215"/>
      <c r="I54" s="215"/>
      <c r="J54" s="214"/>
      <c r="K54" s="214"/>
      <c r="L54" s="214"/>
      <c r="M54" s="214"/>
      <c r="N54" s="214"/>
      <c r="O54" s="214"/>
      <c r="R54" s="126">
        <v>52</v>
      </c>
      <c r="S54" s="286" t="s">
        <v>587</v>
      </c>
      <c r="T54" s="132" t="s">
        <v>58</v>
      </c>
      <c r="U54" s="316">
        <v>2.94</v>
      </c>
      <c r="V54" s="316">
        <v>4.5599999999999987</v>
      </c>
      <c r="W54" s="315" t="s">
        <v>368</v>
      </c>
      <c r="X54" s="317">
        <v>3.65</v>
      </c>
      <c r="Y54" s="317">
        <v>5.1099999999999985</v>
      </c>
      <c r="Z54" s="315" t="s">
        <v>368</v>
      </c>
      <c r="AA54" s="315" t="s">
        <v>368</v>
      </c>
      <c r="AB54" s="123" t="s">
        <v>507</v>
      </c>
      <c r="AC54" s="133">
        <v>7.0000000000000007E-2</v>
      </c>
      <c r="AD54" s="124">
        <v>-0.1</v>
      </c>
      <c r="AE54" s="137"/>
      <c r="AF54" s="125"/>
      <c r="AL54" s="125"/>
      <c r="AM54" s="112" t="s">
        <v>431</v>
      </c>
      <c r="AN54" s="113"/>
      <c r="AO54" s="339">
        <v>5000272</v>
      </c>
      <c r="AP54" s="339" t="s">
        <v>171</v>
      </c>
      <c r="AQ54" s="340"/>
      <c r="AT54" s="113"/>
      <c r="AU54" s="113"/>
      <c r="AV54" s="113"/>
      <c r="AW54" s="113"/>
      <c r="AX54" s="113"/>
      <c r="AY54" s="113"/>
      <c r="AZ54" s="113"/>
      <c r="BA54" s="113"/>
      <c r="BB54" s="113"/>
      <c r="BC54" s="148"/>
    </row>
    <row r="55" spans="2:55" x14ac:dyDescent="0.2">
      <c r="R55" s="122">
        <v>53</v>
      </c>
      <c r="S55" s="132" t="s">
        <v>352</v>
      </c>
      <c r="T55" s="132" t="s">
        <v>59</v>
      </c>
      <c r="U55" s="316">
        <v>3</v>
      </c>
      <c r="V55" s="316">
        <v>4.6559999999999997</v>
      </c>
      <c r="W55" s="315" t="s">
        <v>368</v>
      </c>
      <c r="X55" s="317">
        <v>3.71</v>
      </c>
      <c r="Y55" s="317">
        <v>5.2059999999999995</v>
      </c>
      <c r="Z55" s="315">
        <v>4.55</v>
      </c>
      <c r="AA55" s="315">
        <v>5.16</v>
      </c>
      <c r="AB55" s="123" t="s">
        <v>506</v>
      </c>
      <c r="AC55" s="133">
        <v>7.0000000000000007E-2</v>
      </c>
      <c r="AD55" s="124">
        <v>-0.1</v>
      </c>
      <c r="AE55" s="137"/>
      <c r="AF55" s="125"/>
      <c r="AL55" s="125"/>
      <c r="AM55" s="112" t="s">
        <v>663</v>
      </c>
      <c r="AN55" s="113"/>
      <c r="AO55" s="339">
        <v>1004374</v>
      </c>
      <c r="AP55" s="339" t="s">
        <v>583</v>
      </c>
      <c r="AQ55" s="340"/>
      <c r="AT55" s="113"/>
      <c r="AU55" s="113"/>
      <c r="AV55" s="113"/>
      <c r="AW55" s="113"/>
      <c r="AX55" s="113"/>
      <c r="AY55" s="113"/>
      <c r="AZ55" s="113"/>
      <c r="BA55" s="113"/>
      <c r="BB55" s="113"/>
      <c r="BC55" s="148"/>
    </row>
    <row r="56" spans="2:55" x14ac:dyDescent="0.2">
      <c r="R56" s="126">
        <v>54</v>
      </c>
      <c r="S56" s="132" t="s">
        <v>352</v>
      </c>
      <c r="T56" s="132" t="s">
        <v>454</v>
      </c>
      <c r="U56" s="316">
        <v>3</v>
      </c>
      <c r="V56" s="316">
        <v>4.6559999999999997</v>
      </c>
      <c r="W56" s="315" t="s">
        <v>368</v>
      </c>
      <c r="X56" s="317">
        <v>3.71</v>
      </c>
      <c r="Y56" s="317">
        <v>5.2059999999999995</v>
      </c>
      <c r="Z56" s="315">
        <v>4.55</v>
      </c>
      <c r="AA56" s="315">
        <v>5.16</v>
      </c>
      <c r="AB56" s="123" t="s">
        <v>506</v>
      </c>
      <c r="AC56" s="133">
        <v>7.0000000000000007E-2</v>
      </c>
      <c r="AD56" s="124">
        <v>-0.1</v>
      </c>
      <c r="AE56" s="137"/>
      <c r="AF56" s="125"/>
      <c r="AG56" s="125"/>
      <c r="AH56" s="125"/>
      <c r="AJ56" s="125"/>
      <c r="AK56" s="125"/>
      <c r="AL56" s="125"/>
      <c r="AM56" s="112" t="s">
        <v>664</v>
      </c>
      <c r="AN56" s="113"/>
      <c r="AO56" s="339">
        <v>751000</v>
      </c>
      <c r="AP56" s="339" t="s">
        <v>168</v>
      </c>
      <c r="AQ56" s="340"/>
      <c r="AT56" s="113"/>
      <c r="AU56" s="113"/>
      <c r="AV56" s="113"/>
      <c r="AW56" s="113"/>
      <c r="AX56" s="113"/>
      <c r="AY56" s="113"/>
      <c r="AZ56" s="113"/>
      <c r="BA56" s="113"/>
      <c r="BB56" s="113"/>
      <c r="BC56" s="148"/>
    </row>
    <row r="57" spans="2:55" x14ac:dyDescent="0.2">
      <c r="R57" s="126">
        <v>55</v>
      </c>
      <c r="S57" s="132" t="s">
        <v>352</v>
      </c>
      <c r="T57" s="132" t="s">
        <v>60</v>
      </c>
      <c r="U57" s="316">
        <v>3</v>
      </c>
      <c r="V57" s="316">
        <v>4.6559999999999997</v>
      </c>
      <c r="W57" s="315" t="s">
        <v>368</v>
      </c>
      <c r="X57" s="317">
        <v>3.71</v>
      </c>
      <c r="Y57" s="317">
        <v>5.2059999999999995</v>
      </c>
      <c r="Z57" s="315">
        <v>4.55</v>
      </c>
      <c r="AA57" s="315">
        <v>5.16</v>
      </c>
      <c r="AB57" s="123" t="s">
        <v>506</v>
      </c>
      <c r="AC57" s="133">
        <v>7.0000000000000007E-2</v>
      </c>
      <c r="AD57" s="124">
        <v>-0.1</v>
      </c>
      <c r="AE57" s="137"/>
      <c r="AF57" s="125"/>
      <c r="AG57" s="125"/>
      <c r="AH57" s="125"/>
      <c r="AJ57" s="125"/>
      <c r="AK57" s="125"/>
      <c r="AL57" s="125"/>
      <c r="AM57" s="112" t="s">
        <v>665</v>
      </c>
      <c r="AN57" s="113"/>
      <c r="AO57" s="339">
        <v>644370</v>
      </c>
      <c r="AP57" s="339" t="s">
        <v>387</v>
      </c>
      <c r="AQ57" s="340"/>
      <c r="AT57" s="113"/>
      <c r="AU57" s="113"/>
      <c r="AV57" s="113"/>
      <c r="AW57" s="113"/>
      <c r="AX57" s="113"/>
      <c r="AY57" s="113"/>
      <c r="AZ57" s="113"/>
      <c r="BA57" s="113"/>
      <c r="BB57" s="113"/>
      <c r="BC57" s="148"/>
    </row>
    <row r="58" spans="2:55" x14ac:dyDescent="0.2">
      <c r="R58" s="126">
        <v>56</v>
      </c>
      <c r="S58" s="132" t="s">
        <v>350</v>
      </c>
      <c r="T58" s="132" t="s">
        <v>318</v>
      </c>
      <c r="U58" s="316">
        <v>2.3123</v>
      </c>
      <c r="V58" s="316">
        <v>3.5556800000000002</v>
      </c>
      <c r="W58" s="315" t="s">
        <v>368</v>
      </c>
      <c r="X58" s="316">
        <v>2.6220000000000003</v>
      </c>
      <c r="Y58" s="316">
        <v>4.2399999999999993</v>
      </c>
      <c r="Z58" s="315">
        <v>3.8623000000000003</v>
      </c>
      <c r="AA58" s="315">
        <v>4.0720000000000001</v>
      </c>
      <c r="AB58" s="123" t="s">
        <v>506</v>
      </c>
      <c r="AC58" s="133">
        <v>7.0000000000000007E-2</v>
      </c>
      <c r="AD58" s="124">
        <v>-0.1</v>
      </c>
      <c r="AE58" s="137"/>
      <c r="AF58" s="125"/>
      <c r="AG58" s="125"/>
      <c r="AH58" s="125"/>
      <c r="AI58" s="125"/>
      <c r="AJ58" s="125"/>
      <c r="AK58" s="125"/>
      <c r="AL58" s="125"/>
      <c r="AM58" s="112" t="s">
        <v>668</v>
      </c>
      <c r="AN58" s="113"/>
      <c r="AO58" s="339">
        <v>1007505</v>
      </c>
      <c r="AP58" s="339" t="s">
        <v>686</v>
      </c>
      <c r="AQ58" s="340" t="s">
        <v>681</v>
      </c>
      <c r="AT58" s="113"/>
      <c r="AU58" s="113"/>
      <c r="AV58" s="113"/>
      <c r="AW58" s="113"/>
      <c r="AX58" s="113"/>
      <c r="AY58" s="113"/>
      <c r="AZ58" s="113"/>
      <c r="BA58" s="113"/>
      <c r="BB58" s="113"/>
      <c r="BC58" s="148"/>
    </row>
    <row r="59" spans="2:55" x14ac:dyDescent="0.2">
      <c r="R59" s="126">
        <v>57</v>
      </c>
      <c r="S59" s="132" t="s">
        <v>350</v>
      </c>
      <c r="T59" s="132" t="s">
        <v>95</v>
      </c>
      <c r="U59" s="316">
        <v>2.0775125000000001</v>
      </c>
      <c r="V59" s="316">
        <v>3.1800200000000003</v>
      </c>
      <c r="W59" s="315" t="s">
        <v>368</v>
      </c>
      <c r="X59" s="316">
        <v>2.4595000000000002</v>
      </c>
      <c r="Y59" s="316">
        <v>4.7599999999999989</v>
      </c>
      <c r="Z59" s="315">
        <v>3.6275124999999999</v>
      </c>
      <c r="AA59" s="315">
        <v>3.9095000000000004</v>
      </c>
      <c r="AB59" s="123" t="s">
        <v>506</v>
      </c>
      <c r="AC59" s="133">
        <v>7.0000000000000007E-2</v>
      </c>
      <c r="AD59" s="124">
        <v>-0.1</v>
      </c>
      <c r="AE59" s="137"/>
      <c r="AF59" s="125"/>
      <c r="AG59" s="125"/>
      <c r="AH59" s="125"/>
      <c r="AI59" s="125"/>
      <c r="AJ59" s="125"/>
      <c r="AK59" s="125"/>
      <c r="AL59" s="125"/>
      <c r="AM59" s="112" t="s">
        <v>669</v>
      </c>
      <c r="AN59" s="113"/>
      <c r="AO59" s="339">
        <v>5000119</v>
      </c>
      <c r="AP59" s="339" t="s">
        <v>686</v>
      </c>
      <c r="AQ59" s="340" t="s">
        <v>681</v>
      </c>
      <c r="AT59" s="113"/>
      <c r="AU59" s="113"/>
      <c r="AV59" s="113"/>
      <c r="AW59" s="113"/>
      <c r="AX59" s="113"/>
      <c r="AY59" s="113"/>
      <c r="AZ59" s="113"/>
      <c r="BA59" s="113"/>
      <c r="BB59" s="113"/>
      <c r="BC59" s="148"/>
    </row>
    <row r="60" spans="2:55" x14ac:dyDescent="0.2">
      <c r="R60" s="122">
        <v>58</v>
      </c>
      <c r="S60" s="132" t="s">
        <v>350</v>
      </c>
      <c r="T60" s="132" t="s">
        <v>125</v>
      </c>
      <c r="U60" s="316">
        <v>1.9133700000000005</v>
      </c>
      <c r="V60" s="316">
        <v>2.9173920000000009</v>
      </c>
      <c r="W60" s="315" t="s">
        <v>368</v>
      </c>
      <c r="X60" s="316">
        <v>2.1470000000000002</v>
      </c>
      <c r="Y60" s="316">
        <v>2.6720000000000002</v>
      </c>
      <c r="Z60" s="315">
        <v>3.4633700000000003</v>
      </c>
      <c r="AA60" s="315">
        <v>3.5970000000000004</v>
      </c>
      <c r="AB60" s="123" t="s">
        <v>506</v>
      </c>
      <c r="AC60" s="133">
        <v>7.0000000000000007E-2</v>
      </c>
      <c r="AD60" s="124">
        <v>-0.1</v>
      </c>
      <c r="AE60" s="137"/>
      <c r="AF60" s="125"/>
      <c r="AG60" s="125"/>
      <c r="AH60" s="125"/>
      <c r="AI60" s="125"/>
      <c r="AJ60" s="125"/>
      <c r="AK60" s="125"/>
      <c r="AL60" s="125"/>
      <c r="AM60" s="112" t="s">
        <v>670</v>
      </c>
      <c r="AN60" s="113"/>
      <c r="AO60" s="339">
        <v>762660</v>
      </c>
      <c r="AP60" s="339" t="s">
        <v>687</v>
      </c>
      <c r="AQ60" s="340" t="s">
        <v>681</v>
      </c>
      <c r="AT60" s="113"/>
      <c r="AU60" s="113"/>
      <c r="AV60" s="113"/>
      <c r="AW60" s="113"/>
      <c r="AX60" s="113"/>
      <c r="AY60" s="113"/>
      <c r="AZ60" s="113"/>
      <c r="BA60" s="113"/>
      <c r="BB60" s="113"/>
      <c r="BC60" s="148"/>
    </row>
    <row r="61" spans="2:55" x14ac:dyDescent="0.2">
      <c r="R61" s="126">
        <v>59</v>
      </c>
      <c r="S61" s="132" t="s">
        <v>350</v>
      </c>
      <c r="T61" s="306" t="s">
        <v>571</v>
      </c>
      <c r="U61" s="316">
        <v>1.78</v>
      </c>
      <c r="V61" s="316">
        <v>2.71</v>
      </c>
      <c r="W61" s="315" t="s">
        <v>368</v>
      </c>
      <c r="X61" s="316">
        <v>2.12</v>
      </c>
      <c r="Y61" s="316">
        <v>2.63</v>
      </c>
      <c r="Z61" s="322">
        <v>3.33</v>
      </c>
      <c r="AA61" s="322">
        <v>3.57</v>
      </c>
      <c r="AB61" s="307" t="s">
        <v>506</v>
      </c>
      <c r="AC61" s="308">
        <v>7.0000000000000007E-2</v>
      </c>
      <c r="AD61" s="309">
        <v>-0.1</v>
      </c>
      <c r="AE61" s="137"/>
      <c r="AF61" s="125"/>
      <c r="AG61" s="125"/>
      <c r="AH61" s="125"/>
      <c r="AI61" s="125"/>
      <c r="AJ61" s="125"/>
      <c r="AK61" s="125"/>
      <c r="AL61" s="125"/>
      <c r="AM61" s="113"/>
      <c r="AN61" s="113"/>
      <c r="AO61" s="339">
        <v>345290</v>
      </c>
      <c r="AP61" s="339" t="s">
        <v>153</v>
      </c>
      <c r="AQ61" s="340"/>
      <c r="AT61" s="113"/>
      <c r="AU61" s="113"/>
      <c r="AV61" s="113"/>
      <c r="AW61" s="113"/>
      <c r="AX61" s="113"/>
      <c r="AY61" s="113"/>
      <c r="AZ61" s="113"/>
      <c r="BA61" s="113"/>
      <c r="BB61" s="113"/>
      <c r="BC61" s="148"/>
    </row>
    <row r="62" spans="2:55" x14ac:dyDescent="0.2">
      <c r="R62" s="126">
        <v>60</v>
      </c>
      <c r="S62" s="132" t="s">
        <v>350</v>
      </c>
      <c r="T62" s="306" t="s">
        <v>574</v>
      </c>
      <c r="U62" s="323">
        <v>2.06</v>
      </c>
      <c r="V62" s="323">
        <v>3.16</v>
      </c>
      <c r="W62" s="310" t="s">
        <v>368</v>
      </c>
      <c r="X62" s="323">
        <v>2.27</v>
      </c>
      <c r="Y62" s="323">
        <v>2.87</v>
      </c>
      <c r="Z62" s="322">
        <v>3.61</v>
      </c>
      <c r="AA62" s="322">
        <v>3.72</v>
      </c>
      <c r="AB62" s="307" t="s">
        <v>506</v>
      </c>
      <c r="AC62" s="308">
        <v>7.0000000000000007E-2</v>
      </c>
      <c r="AD62" s="309">
        <v>-0.1</v>
      </c>
      <c r="AE62" s="137"/>
      <c r="AF62" s="125"/>
      <c r="AG62" s="125"/>
      <c r="AH62" s="125"/>
      <c r="AI62" s="125"/>
      <c r="AJ62" s="125"/>
      <c r="AK62" s="125"/>
      <c r="AL62" s="125"/>
      <c r="AM62" s="113"/>
      <c r="AN62" s="113"/>
      <c r="AO62" s="339">
        <v>1006610</v>
      </c>
      <c r="AP62" s="339" t="s">
        <v>153</v>
      </c>
      <c r="AQ62" s="340"/>
      <c r="AT62" s="113"/>
      <c r="AU62" s="113"/>
      <c r="AV62" s="113"/>
      <c r="AW62" s="113"/>
      <c r="AX62" s="113"/>
      <c r="AY62" s="113"/>
      <c r="AZ62" s="113"/>
      <c r="BA62" s="113"/>
      <c r="BB62" s="113"/>
      <c r="BC62" s="148"/>
    </row>
    <row r="63" spans="2:55" x14ac:dyDescent="0.2">
      <c r="R63" s="126">
        <v>61</v>
      </c>
      <c r="S63" s="132" t="s">
        <v>350</v>
      </c>
      <c r="T63" s="132" t="s">
        <v>130</v>
      </c>
      <c r="U63" s="316">
        <v>2.0858325000000004</v>
      </c>
      <c r="V63" s="316">
        <v>3.1933320000000007</v>
      </c>
      <c r="W63" s="315" t="s">
        <v>368</v>
      </c>
      <c r="X63" s="316">
        <v>2.3470000000000004</v>
      </c>
      <c r="Y63" s="316">
        <v>2.992</v>
      </c>
      <c r="Z63" s="315">
        <v>3.6358325000000002</v>
      </c>
      <c r="AA63" s="315">
        <v>3.7970000000000006</v>
      </c>
      <c r="AB63" s="123" t="s">
        <v>506</v>
      </c>
      <c r="AC63" s="133">
        <v>7.0000000000000007E-2</v>
      </c>
      <c r="AD63" s="124">
        <v>-0.1</v>
      </c>
      <c r="AE63" s="137"/>
      <c r="AF63" s="125"/>
      <c r="AG63" s="125"/>
      <c r="AH63" s="125"/>
      <c r="AI63" s="125"/>
      <c r="AJ63" s="125"/>
      <c r="AK63" s="125"/>
      <c r="AL63" s="125"/>
      <c r="AM63" s="113"/>
      <c r="AN63" s="113"/>
      <c r="AO63" s="339">
        <v>1008612</v>
      </c>
      <c r="AP63" s="339" t="s">
        <v>153</v>
      </c>
      <c r="AQ63" s="340"/>
      <c r="AT63" s="113"/>
      <c r="AU63" s="113"/>
      <c r="AV63" s="113"/>
      <c r="AW63" s="113"/>
      <c r="AX63" s="113"/>
      <c r="AY63" s="113"/>
      <c r="AZ63" s="113"/>
      <c r="BA63" s="113"/>
      <c r="BB63" s="113"/>
      <c r="BC63" s="148"/>
    </row>
    <row r="64" spans="2:55" x14ac:dyDescent="0.2">
      <c r="R64" s="126">
        <v>62</v>
      </c>
      <c r="S64" s="132" t="s">
        <v>350</v>
      </c>
      <c r="T64" s="132" t="s">
        <v>233</v>
      </c>
      <c r="U64" s="316">
        <v>1.9922125000000004</v>
      </c>
      <c r="V64" s="316">
        <v>3.0435400000000006</v>
      </c>
      <c r="W64" s="126" t="s">
        <v>368</v>
      </c>
      <c r="X64" s="316">
        <v>2.3470000000000004</v>
      </c>
      <c r="Y64" s="316">
        <v>2.992</v>
      </c>
      <c r="Z64" s="315">
        <v>3.5422125000000007</v>
      </c>
      <c r="AA64" s="315">
        <v>3.7970000000000006</v>
      </c>
      <c r="AB64" s="123" t="s">
        <v>506</v>
      </c>
      <c r="AC64" s="133">
        <v>7.0000000000000007E-2</v>
      </c>
      <c r="AD64" s="124">
        <v>-0.1</v>
      </c>
      <c r="AE64" s="137"/>
      <c r="AF64" s="125"/>
      <c r="AG64" s="125"/>
      <c r="AH64" s="125"/>
      <c r="AI64" s="125"/>
      <c r="AJ64" s="125"/>
      <c r="AK64" s="125"/>
      <c r="AL64" s="125"/>
      <c r="AM64" s="113"/>
      <c r="AN64" s="113"/>
      <c r="AO64" s="339">
        <v>1000614</v>
      </c>
      <c r="AP64" s="339" t="s">
        <v>173</v>
      </c>
      <c r="AQ64" s="340"/>
      <c r="AT64" s="113"/>
      <c r="AU64" s="113"/>
      <c r="AV64" s="113"/>
      <c r="AW64" s="113"/>
      <c r="AX64" s="113"/>
      <c r="AY64" s="113"/>
      <c r="AZ64" s="113"/>
      <c r="BA64" s="113"/>
      <c r="BB64" s="113"/>
      <c r="BC64" s="148"/>
    </row>
    <row r="65" spans="18:55" x14ac:dyDescent="0.2">
      <c r="R65" s="122">
        <v>63</v>
      </c>
      <c r="S65" s="132" t="s">
        <v>350</v>
      </c>
      <c r="T65" s="132" t="s">
        <v>234</v>
      </c>
      <c r="U65" s="316">
        <v>2.0528825000000004</v>
      </c>
      <c r="V65" s="316">
        <v>3.1406120000000008</v>
      </c>
      <c r="W65" s="126" t="s">
        <v>368</v>
      </c>
      <c r="X65" s="316">
        <v>2.3594999999999997</v>
      </c>
      <c r="Y65" s="316">
        <v>3.012</v>
      </c>
      <c r="Z65" s="315">
        <v>3.6028825000000007</v>
      </c>
      <c r="AA65" s="315">
        <v>3.8094999999999999</v>
      </c>
      <c r="AB65" s="123" t="s">
        <v>506</v>
      </c>
      <c r="AC65" s="133">
        <v>7.0000000000000007E-2</v>
      </c>
      <c r="AD65" s="124">
        <v>-0.1</v>
      </c>
      <c r="AE65" s="137"/>
      <c r="AF65" s="125"/>
      <c r="AG65" s="125"/>
      <c r="AH65" s="125"/>
      <c r="AI65" s="125"/>
      <c r="AJ65" s="125"/>
      <c r="AK65" s="125"/>
      <c r="AL65" s="125"/>
      <c r="AM65" s="113"/>
      <c r="AN65" s="113"/>
      <c r="AO65" s="339">
        <v>5000231</v>
      </c>
      <c r="AP65" s="339" t="s">
        <v>173</v>
      </c>
      <c r="AQ65" s="340"/>
      <c r="AT65" s="113"/>
      <c r="AU65" s="113"/>
      <c r="AV65" s="113"/>
      <c r="AW65" s="113"/>
      <c r="AX65" s="113"/>
      <c r="AY65" s="113"/>
      <c r="AZ65" s="113"/>
      <c r="BA65" s="113"/>
      <c r="BB65" s="113"/>
      <c r="BC65" s="148"/>
    </row>
    <row r="66" spans="18:55" x14ac:dyDescent="0.2">
      <c r="R66" s="126">
        <v>64</v>
      </c>
      <c r="S66" s="132" t="s">
        <v>350</v>
      </c>
      <c r="T66" s="132" t="s">
        <v>235</v>
      </c>
      <c r="U66" s="316">
        <v>2.1414000000000004</v>
      </c>
      <c r="V66" s="316">
        <v>3.2822400000000003</v>
      </c>
      <c r="W66" s="126" t="s">
        <v>368</v>
      </c>
      <c r="X66" s="316">
        <v>2.3470000000000004</v>
      </c>
      <c r="Y66" s="316">
        <v>2.992</v>
      </c>
      <c r="Z66" s="315">
        <v>3.6914000000000007</v>
      </c>
      <c r="AA66" s="315">
        <v>3.7970000000000006</v>
      </c>
      <c r="AB66" s="123" t="s">
        <v>506</v>
      </c>
      <c r="AC66" s="133">
        <v>7.0000000000000007E-2</v>
      </c>
      <c r="AD66" s="124">
        <v>-0.1</v>
      </c>
      <c r="AE66" s="137"/>
      <c r="AF66" s="125"/>
      <c r="AG66" s="125"/>
      <c r="AH66" s="125"/>
      <c r="AI66" s="125"/>
      <c r="AJ66" s="125"/>
      <c r="AK66" s="125"/>
      <c r="AL66" s="125"/>
      <c r="AM66" s="113"/>
      <c r="AN66" s="113"/>
      <c r="AO66" s="339">
        <v>1006706</v>
      </c>
      <c r="AP66" s="339" t="s">
        <v>388</v>
      </c>
      <c r="AQ66" s="340"/>
      <c r="AT66" s="113"/>
      <c r="AU66" s="113"/>
      <c r="AV66" s="113"/>
      <c r="AW66" s="113"/>
      <c r="AX66" s="113"/>
      <c r="AY66" s="113"/>
      <c r="AZ66" s="113"/>
      <c r="BA66" s="113"/>
      <c r="BB66" s="113"/>
      <c r="BC66" s="148"/>
    </row>
    <row r="67" spans="18:55" x14ac:dyDescent="0.2">
      <c r="R67" s="126">
        <v>65</v>
      </c>
      <c r="S67" s="132" t="s">
        <v>352</v>
      </c>
      <c r="T67" s="132" t="s">
        <v>80</v>
      </c>
      <c r="U67" s="316">
        <v>2.8400000000000003</v>
      </c>
      <c r="V67" s="316">
        <v>4.3999999999999995</v>
      </c>
      <c r="W67" s="315" t="s">
        <v>368</v>
      </c>
      <c r="X67" s="317">
        <v>3.5500000000000003</v>
      </c>
      <c r="Y67" s="317">
        <v>4.9499999999999993</v>
      </c>
      <c r="Z67" s="315">
        <v>4.3900000000000006</v>
      </c>
      <c r="AA67" s="315">
        <v>5</v>
      </c>
      <c r="AB67" s="123" t="s">
        <v>506</v>
      </c>
      <c r="AC67" s="133">
        <v>7.0000000000000007E-2</v>
      </c>
      <c r="AD67" s="124">
        <v>-0.1</v>
      </c>
      <c r="AE67" s="137"/>
      <c r="AF67" s="125"/>
      <c r="AG67" s="125"/>
      <c r="AH67" s="125"/>
      <c r="AI67" s="125"/>
      <c r="AJ67" s="125"/>
      <c r="AK67" s="125"/>
      <c r="AL67" s="125"/>
      <c r="AM67" s="113"/>
      <c r="AN67" s="113"/>
      <c r="AO67" s="339">
        <v>606460</v>
      </c>
      <c r="AP67" s="339" t="s">
        <v>159</v>
      </c>
      <c r="AQ67" s="340"/>
      <c r="AT67" s="113"/>
      <c r="AU67" s="113"/>
      <c r="AV67" s="113"/>
      <c r="AW67" s="113"/>
      <c r="AX67" s="113"/>
      <c r="AY67" s="113"/>
      <c r="AZ67" s="113"/>
      <c r="BA67" s="113"/>
      <c r="BB67" s="113"/>
      <c r="BC67" s="148"/>
    </row>
    <row r="68" spans="18:55" x14ac:dyDescent="0.2">
      <c r="R68" s="126">
        <v>66</v>
      </c>
      <c r="S68" s="132" t="s">
        <v>350</v>
      </c>
      <c r="T68" s="132" t="s">
        <v>238</v>
      </c>
      <c r="U68" s="316">
        <v>2.2053000000000003</v>
      </c>
      <c r="V68" s="316">
        <v>3.3844800000000004</v>
      </c>
      <c r="W68" s="126" t="s">
        <v>368</v>
      </c>
      <c r="X68" s="316">
        <v>2.4970000000000003</v>
      </c>
      <c r="Y68" s="316">
        <v>3.2320000000000002</v>
      </c>
      <c r="Z68" s="315">
        <v>3.7553000000000001</v>
      </c>
      <c r="AA68" s="315">
        <v>3.9470000000000001</v>
      </c>
      <c r="AB68" s="123" t="s">
        <v>506</v>
      </c>
      <c r="AC68" s="133">
        <v>7.0000000000000007E-2</v>
      </c>
      <c r="AD68" s="124">
        <v>-0.1</v>
      </c>
      <c r="AE68" s="137"/>
      <c r="AF68" s="125"/>
      <c r="AG68" s="125"/>
      <c r="AH68" s="125"/>
      <c r="AI68" s="125"/>
      <c r="AJ68" s="125"/>
      <c r="AK68" s="125"/>
      <c r="AL68" s="125"/>
      <c r="AM68" s="113"/>
      <c r="AN68" s="113"/>
      <c r="AO68" s="339">
        <v>5000231</v>
      </c>
      <c r="AP68" s="339" t="s">
        <v>159</v>
      </c>
      <c r="AQ68" s="340"/>
      <c r="AT68" s="113"/>
      <c r="AU68" s="113"/>
      <c r="AV68" s="113"/>
      <c r="AW68" s="113"/>
      <c r="AX68" s="113"/>
      <c r="AY68" s="113"/>
      <c r="AZ68" s="113"/>
      <c r="BA68" s="113"/>
      <c r="BB68" s="113"/>
      <c r="BC68" s="148"/>
    </row>
    <row r="69" spans="18:55" x14ac:dyDescent="0.2">
      <c r="R69" s="126">
        <v>67</v>
      </c>
      <c r="S69" s="132" t="s">
        <v>352</v>
      </c>
      <c r="T69" s="132" t="s">
        <v>89</v>
      </c>
      <c r="U69" s="316">
        <v>2.98</v>
      </c>
      <c r="V69" s="316">
        <v>4.6239999999999988</v>
      </c>
      <c r="W69" s="315" t="s">
        <v>368</v>
      </c>
      <c r="X69" s="317">
        <v>3.69</v>
      </c>
      <c r="Y69" s="317">
        <v>5.1739999999999986</v>
      </c>
      <c r="Z69" s="315">
        <v>4.53</v>
      </c>
      <c r="AA69" s="315">
        <v>5.14</v>
      </c>
      <c r="AB69" s="123" t="s">
        <v>506</v>
      </c>
      <c r="AC69" s="133">
        <v>7.0000000000000007E-2</v>
      </c>
      <c r="AD69" s="124">
        <v>-0.1</v>
      </c>
      <c r="AE69" s="137"/>
      <c r="AF69" s="125"/>
      <c r="AG69" s="125"/>
      <c r="AH69" s="125"/>
      <c r="AI69" s="125"/>
      <c r="AJ69" s="125"/>
      <c r="AK69" s="125"/>
      <c r="AL69" s="125"/>
      <c r="AM69" s="113"/>
      <c r="AN69" s="113"/>
      <c r="AO69" s="339">
        <v>724390</v>
      </c>
      <c r="AP69" s="339" t="s">
        <v>167</v>
      </c>
      <c r="AQ69" s="340"/>
      <c r="AT69" s="113"/>
      <c r="AU69" s="113"/>
      <c r="AV69" s="113"/>
      <c r="AW69" s="113"/>
      <c r="AX69" s="113"/>
      <c r="AY69" s="113"/>
      <c r="AZ69" s="113"/>
      <c r="BA69" s="113"/>
      <c r="BB69" s="113"/>
      <c r="BC69" s="148"/>
    </row>
    <row r="70" spans="18:55" x14ac:dyDescent="0.2">
      <c r="R70" s="122">
        <v>68</v>
      </c>
      <c r="S70" s="132" t="s">
        <v>352</v>
      </c>
      <c r="T70" s="132" t="s">
        <v>74</v>
      </c>
      <c r="U70" s="316">
        <v>2.98</v>
      </c>
      <c r="V70" s="316">
        <v>4.6239999999999988</v>
      </c>
      <c r="W70" s="315" t="s">
        <v>368</v>
      </c>
      <c r="X70" s="317">
        <v>3.69</v>
      </c>
      <c r="Y70" s="317">
        <v>5.1739999999999986</v>
      </c>
      <c r="Z70" s="315">
        <v>4.53</v>
      </c>
      <c r="AA70" s="315">
        <v>5.14</v>
      </c>
      <c r="AB70" s="123" t="s">
        <v>506</v>
      </c>
      <c r="AC70" s="133">
        <v>7.0000000000000007E-2</v>
      </c>
      <c r="AD70" s="124">
        <v>-0.1</v>
      </c>
      <c r="AE70" s="137"/>
      <c r="AF70" s="125"/>
      <c r="AG70" s="125"/>
      <c r="AH70" s="125"/>
      <c r="AI70" s="125"/>
      <c r="AJ70" s="125"/>
      <c r="AK70" s="125"/>
      <c r="AL70" s="125"/>
      <c r="AM70" s="113"/>
      <c r="AN70" s="113"/>
      <c r="AO70" s="339">
        <v>1004011</v>
      </c>
      <c r="AP70" s="339" t="s">
        <v>175</v>
      </c>
      <c r="AQ70" s="340"/>
      <c r="AT70" s="113"/>
      <c r="AU70" s="113"/>
      <c r="AV70" s="113"/>
      <c r="AW70" s="113"/>
      <c r="AX70" s="113"/>
      <c r="AY70" s="113"/>
      <c r="AZ70" s="113"/>
      <c r="BA70" s="113"/>
      <c r="BB70" s="113"/>
      <c r="BC70" s="148"/>
    </row>
    <row r="71" spans="18:55" x14ac:dyDescent="0.2">
      <c r="R71" s="126">
        <v>69</v>
      </c>
      <c r="S71" s="132" t="s">
        <v>352</v>
      </c>
      <c r="T71" s="132" t="s">
        <v>61</v>
      </c>
      <c r="U71" s="316">
        <v>2.98</v>
      </c>
      <c r="V71" s="316">
        <v>4.6239999999999988</v>
      </c>
      <c r="W71" s="315" t="s">
        <v>368</v>
      </c>
      <c r="X71" s="317">
        <v>3.69</v>
      </c>
      <c r="Y71" s="317">
        <v>5.1739999999999986</v>
      </c>
      <c r="Z71" s="315">
        <v>4.53</v>
      </c>
      <c r="AA71" s="315">
        <v>5.14</v>
      </c>
      <c r="AB71" s="123" t="s">
        <v>506</v>
      </c>
      <c r="AC71" s="133">
        <v>7.0000000000000007E-2</v>
      </c>
      <c r="AD71" s="124">
        <v>-0.1</v>
      </c>
      <c r="AE71" s="137"/>
      <c r="AF71" s="125"/>
      <c r="AG71" s="125"/>
      <c r="AH71" s="125"/>
      <c r="AI71" s="125"/>
      <c r="AJ71" s="125"/>
      <c r="AK71" s="125"/>
      <c r="AL71" s="125"/>
      <c r="AM71" s="113"/>
      <c r="AN71" s="113"/>
      <c r="AO71" s="339">
        <v>5000300</v>
      </c>
      <c r="AP71" s="339" t="s">
        <v>175</v>
      </c>
      <c r="AQ71" s="340"/>
      <c r="AT71" s="113"/>
      <c r="AU71" s="113"/>
      <c r="AV71" s="113"/>
      <c r="AW71" s="113"/>
      <c r="AX71" s="113"/>
      <c r="AY71" s="113"/>
      <c r="AZ71" s="113"/>
      <c r="BA71" s="113"/>
      <c r="BB71" s="113"/>
      <c r="BC71" s="148"/>
    </row>
    <row r="72" spans="18:55" x14ac:dyDescent="0.2">
      <c r="R72" s="126">
        <v>70</v>
      </c>
      <c r="S72" s="132" t="s">
        <v>350</v>
      </c>
      <c r="T72" s="132" t="s">
        <v>330</v>
      </c>
      <c r="U72" s="316">
        <v>2.3268780000000002</v>
      </c>
      <c r="V72" s="316">
        <v>3.5790048000000008</v>
      </c>
      <c r="W72" s="315" t="s">
        <v>368</v>
      </c>
      <c r="X72" s="316">
        <v>2.3590000000000004</v>
      </c>
      <c r="Y72" s="316">
        <v>3.0112000000000005</v>
      </c>
      <c r="Z72" s="315">
        <v>3.8768780000000005</v>
      </c>
      <c r="AA72" s="315">
        <v>3.8090000000000002</v>
      </c>
      <c r="AB72" s="123" t="s">
        <v>506</v>
      </c>
      <c r="AC72" s="133">
        <v>7.0000000000000007E-2</v>
      </c>
      <c r="AD72" s="124">
        <v>-0.1</v>
      </c>
      <c r="AE72" s="137"/>
      <c r="AF72" s="125"/>
      <c r="AG72" s="125"/>
      <c r="AH72" s="125"/>
      <c r="AI72" s="125"/>
      <c r="AJ72" s="125"/>
      <c r="AK72" s="125"/>
      <c r="AL72" s="125"/>
      <c r="AM72" s="113"/>
      <c r="AN72" s="113"/>
      <c r="AO72" s="339">
        <v>1005485</v>
      </c>
      <c r="AP72" s="339" t="s">
        <v>520</v>
      </c>
      <c r="AQ72" s="340"/>
      <c r="AT72" s="113"/>
      <c r="AU72" s="113"/>
      <c r="AV72" s="113"/>
      <c r="AW72" s="113"/>
      <c r="AX72" s="113"/>
      <c r="AY72" s="113"/>
      <c r="AZ72" s="113"/>
      <c r="BA72" s="113"/>
      <c r="BB72" s="113"/>
      <c r="BC72" s="148"/>
    </row>
    <row r="73" spans="18:55" x14ac:dyDescent="0.2">
      <c r="R73" s="126">
        <v>71</v>
      </c>
      <c r="S73" s="132" t="s">
        <v>350</v>
      </c>
      <c r="T73" s="132" t="s">
        <v>83</v>
      </c>
      <c r="U73" s="316">
        <v>1.9145500000000002</v>
      </c>
      <c r="V73" s="316">
        <v>2.9192800000000005</v>
      </c>
      <c r="W73" s="315" t="s">
        <v>368</v>
      </c>
      <c r="X73" s="316">
        <v>2.2545000000000002</v>
      </c>
      <c r="Y73" s="316">
        <v>2.8440000000000003</v>
      </c>
      <c r="Z73" s="315">
        <v>3.46455</v>
      </c>
      <c r="AA73" s="315">
        <v>3.7045000000000003</v>
      </c>
      <c r="AB73" s="123" t="s">
        <v>506</v>
      </c>
      <c r="AC73" s="133">
        <v>7.0000000000000007E-2</v>
      </c>
      <c r="AD73" s="124">
        <v>-0.1</v>
      </c>
      <c r="AE73" s="137"/>
      <c r="AF73" s="125"/>
      <c r="AG73" s="125"/>
      <c r="AH73" s="125"/>
      <c r="AI73" s="125"/>
      <c r="AJ73" s="125"/>
      <c r="AK73" s="125"/>
      <c r="AL73" s="125"/>
      <c r="AM73" s="113"/>
      <c r="AN73" s="113"/>
      <c r="AO73" s="339">
        <v>4000482</v>
      </c>
      <c r="AP73" s="339" t="s">
        <v>323</v>
      </c>
      <c r="AQ73" s="340"/>
      <c r="AT73" s="113"/>
      <c r="AU73" s="113"/>
      <c r="AV73" s="113"/>
      <c r="AW73" s="113"/>
      <c r="AX73" s="113"/>
      <c r="AY73" s="113"/>
      <c r="AZ73" s="113"/>
      <c r="BA73" s="113"/>
      <c r="BB73" s="113"/>
      <c r="BC73" s="148"/>
    </row>
    <row r="74" spans="18:55" x14ac:dyDescent="0.2">
      <c r="R74" s="126">
        <v>72</v>
      </c>
      <c r="S74" s="286" t="s">
        <v>587</v>
      </c>
      <c r="T74" s="132" t="s">
        <v>75</v>
      </c>
      <c r="U74" s="316">
        <v>2.94</v>
      </c>
      <c r="V74" s="316">
        <v>4.5599999999999987</v>
      </c>
      <c r="W74" s="315" t="s">
        <v>368</v>
      </c>
      <c r="X74" s="317">
        <v>3.65</v>
      </c>
      <c r="Y74" s="317">
        <v>5.1099999999999985</v>
      </c>
      <c r="Z74" s="315" t="s">
        <v>368</v>
      </c>
      <c r="AA74" s="315" t="s">
        <v>368</v>
      </c>
      <c r="AB74" s="123" t="s">
        <v>507</v>
      </c>
      <c r="AC74" s="133">
        <v>7.0000000000000007E-2</v>
      </c>
      <c r="AD74" s="124">
        <v>-0.1</v>
      </c>
      <c r="AE74" s="137"/>
      <c r="AF74" s="125"/>
      <c r="AG74" s="125"/>
      <c r="AH74" s="125"/>
      <c r="AI74" s="125"/>
      <c r="AJ74" s="125"/>
      <c r="AK74" s="125"/>
      <c r="AL74" s="125"/>
      <c r="AM74" s="113"/>
      <c r="AN74" s="113"/>
      <c r="AO74" s="339">
        <v>5001484</v>
      </c>
      <c r="AP74" s="339" t="s">
        <v>389</v>
      </c>
      <c r="AQ74" s="340"/>
      <c r="AT74" s="113"/>
      <c r="AU74" s="113"/>
      <c r="AV74" s="113"/>
      <c r="AW74" s="113"/>
      <c r="AX74" s="113"/>
      <c r="AY74" s="113"/>
      <c r="AZ74" s="113"/>
      <c r="BA74" s="113"/>
      <c r="BB74" s="113"/>
      <c r="BC74" s="148"/>
    </row>
    <row r="75" spans="18:55" x14ac:dyDescent="0.2">
      <c r="R75" s="122">
        <v>73</v>
      </c>
      <c r="S75" s="286" t="s">
        <v>587</v>
      </c>
      <c r="T75" s="132" t="s">
        <v>84</v>
      </c>
      <c r="U75" s="316">
        <v>2.99</v>
      </c>
      <c r="V75" s="316">
        <v>4.6399999999999997</v>
      </c>
      <c r="W75" s="315" t="s">
        <v>368</v>
      </c>
      <c r="X75" s="317">
        <v>3.7</v>
      </c>
      <c r="Y75" s="317">
        <v>5.1899999999999995</v>
      </c>
      <c r="Z75" s="315" t="s">
        <v>368</v>
      </c>
      <c r="AA75" s="315" t="s">
        <v>368</v>
      </c>
      <c r="AB75" s="123" t="s">
        <v>507</v>
      </c>
      <c r="AC75" s="133">
        <v>7.0000000000000007E-2</v>
      </c>
      <c r="AD75" s="124">
        <v>-0.1</v>
      </c>
      <c r="AE75" s="137"/>
      <c r="AF75" s="125"/>
      <c r="AG75" s="125"/>
      <c r="AH75" s="125"/>
      <c r="AI75" s="125"/>
      <c r="AJ75" s="125"/>
      <c r="AK75" s="125"/>
      <c r="AL75" s="125"/>
      <c r="AM75" s="113"/>
      <c r="AN75" s="113"/>
      <c r="AO75" s="339">
        <v>1009120</v>
      </c>
      <c r="AP75" s="339" t="s">
        <v>191</v>
      </c>
      <c r="AQ75" s="340"/>
      <c r="AT75" s="113"/>
      <c r="AU75" s="113"/>
      <c r="AV75" s="113"/>
      <c r="AW75" s="113"/>
      <c r="AX75" s="113"/>
      <c r="AY75" s="113"/>
      <c r="AZ75" s="113"/>
      <c r="BA75" s="113"/>
      <c r="BB75" s="113"/>
      <c r="BC75" s="148"/>
    </row>
    <row r="76" spans="18:55" x14ac:dyDescent="0.2">
      <c r="R76" s="126">
        <v>74</v>
      </c>
      <c r="S76" s="132" t="s">
        <v>351</v>
      </c>
      <c r="T76" s="132" t="s">
        <v>516</v>
      </c>
      <c r="U76" s="316">
        <v>1.7758075</v>
      </c>
      <c r="V76" s="316">
        <v>2.8892920000000002</v>
      </c>
      <c r="W76" s="315" t="s">
        <v>368</v>
      </c>
      <c r="X76" s="317">
        <v>2.8583333333333329</v>
      </c>
      <c r="Y76" s="317">
        <v>3.5653333333333332</v>
      </c>
      <c r="Z76" s="315">
        <v>3.3258074999999998</v>
      </c>
      <c r="AA76" s="315">
        <v>4.3083333333333327</v>
      </c>
      <c r="AB76" s="123" t="s">
        <v>506</v>
      </c>
      <c r="AC76" s="133">
        <v>7.0000000000000007E-2</v>
      </c>
      <c r="AD76" s="124">
        <v>-0.1</v>
      </c>
      <c r="AE76" s="137"/>
      <c r="AF76" s="125"/>
      <c r="AG76" s="125"/>
      <c r="AH76" s="125"/>
      <c r="AI76" s="125"/>
      <c r="AJ76" s="125"/>
      <c r="AK76" s="125"/>
      <c r="AL76" s="125"/>
      <c r="AM76" s="113"/>
      <c r="AN76" s="113"/>
      <c r="AO76" s="339">
        <v>1007797</v>
      </c>
      <c r="AP76" s="339" t="s">
        <v>190</v>
      </c>
      <c r="AQ76" s="340"/>
      <c r="AT76" s="113"/>
      <c r="AU76" s="113"/>
      <c r="AV76" s="113"/>
      <c r="AW76" s="113"/>
      <c r="AX76" s="113"/>
      <c r="AY76" s="113"/>
      <c r="AZ76" s="113"/>
      <c r="BA76" s="113"/>
      <c r="BB76" s="113"/>
      <c r="BC76" s="148"/>
    </row>
    <row r="77" spans="18:55" x14ac:dyDescent="0.2">
      <c r="R77" s="126">
        <v>75</v>
      </c>
      <c r="S77" s="132" t="s">
        <v>351</v>
      </c>
      <c r="T77" s="132" t="s">
        <v>517</v>
      </c>
      <c r="U77" s="316">
        <v>1.8847000000000005</v>
      </c>
      <c r="V77" s="316">
        <v>3.0635200000000005</v>
      </c>
      <c r="W77" s="315" t="s">
        <v>368</v>
      </c>
      <c r="X77" s="317">
        <v>2.6749999999999998</v>
      </c>
      <c r="Y77" s="317">
        <v>3.2719999999999998</v>
      </c>
      <c r="Z77" s="315">
        <v>3.4347000000000003</v>
      </c>
      <c r="AA77" s="315">
        <v>4.125</v>
      </c>
      <c r="AB77" s="123" t="s">
        <v>506</v>
      </c>
      <c r="AC77" s="133">
        <v>7.0000000000000007E-2</v>
      </c>
      <c r="AD77" s="124">
        <v>-0.1</v>
      </c>
      <c r="AE77" s="137"/>
      <c r="AF77" s="125"/>
      <c r="AG77" s="125"/>
      <c r="AH77" s="125"/>
      <c r="AI77" s="125"/>
      <c r="AJ77" s="125"/>
      <c r="AK77" s="125"/>
      <c r="AL77" s="125"/>
      <c r="AM77" s="113"/>
      <c r="AN77" s="113"/>
      <c r="AO77" s="339">
        <v>1001090</v>
      </c>
      <c r="AP77" s="339" t="s">
        <v>592</v>
      </c>
      <c r="AQ77" s="340" t="s">
        <v>678</v>
      </c>
      <c r="AT77" s="113"/>
      <c r="AU77" s="113"/>
      <c r="AV77" s="113"/>
      <c r="AW77" s="113"/>
      <c r="AX77" s="113"/>
      <c r="AY77" s="113"/>
      <c r="AZ77" s="113"/>
      <c r="BA77" s="113"/>
      <c r="BB77" s="113"/>
      <c r="BC77" s="148"/>
    </row>
    <row r="78" spans="18:55" x14ac:dyDescent="0.2">
      <c r="R78" s="126">
        <v>76</v>
      </c>
      <c r="S78" s="132" t="s">
        <v>351</v>
      </c>
      <c r="T78" s="132" t="s">
        <v>319</v>
      </c>
      <c r="U78" s="316">
        <v>1.79</v>
      </c>
      <c r="V78" s="316">
        <v>2.89</v>
      </c>
      <c r="W78" s="315" t="s">
        <v>368</v>
      </c>
      <c r="X78" s="316">
        <v>2.93</v>
      </c>
      <c r="Y78" s="316">
        <v>3.68</v>
      </c>
      <c r="Z78" s="315">
        <v>3.34</v>
      </c>
      <c r="AA78" s="315">
        <v>4.38</v>
      </c>
      <c r="AB78" s="123" t="s">
        <v>506</v>
      </c>
      <c r="AC78" s="133">
        <v>7.0000000000000007E-2</v>
      </c>
      <c r="AD78" s="124">
        <v>-0.1</v>
      </c>
      <c r="AE78" s="137"/>
      <c r="AF78" s="125"/>
      <c r="AG78" s="125"/>
      <c r="AH78" s="125"/>
      <c r="AI78" s="125"/>
      <c r="AJ78" s="125"/>
      <c r="AK78" s="125"/>
      <c r="AL78" s="125"/>
      <c r="AM78" s="113"/>
      <c r="AN78" s="113"/>
      <c r="AO78" s="339">
        <v>45060</v>
      </c>
      <c r="AP78" s="339" t="s">
        <v>149</v>
      </c>
      <c r="AQ78" s="340"/>
      <c r="AR78" s="113"/>
      <c r="AS78" s="113"/>
      <c r="AT78" s="113"/>
      <c r="AU78" s="113"/>
      <c r="AV78" s="113"/>
      <c r="AW78" s="113"/>
      <c r="AX78" s="113"/>
      <c r="AY78" s="113"/>
      <c r="AZ78" s="113"/>
      <c r="BA78" s="113"/>
      <c r="BB78" s="113"/>
      <c r="BC78" s="148"/>
    </row>
    <row r="79" spans="18:55" x14ac:dyDescent="0.2">
      <c r="R79" s="126">
        <v>77</v>
      </c>
      <c r="S79" s="132" t="s">
        <v>351</v>
      </c>
      <c r="T79" s="132" t="s">
        <v>553</v>
      </c>
      <c r="U79" s="316">
        <v>2.09</v>
      </c>
      <c r="V79" s="316">
        <v>3.19</v>
      </c>
      <c r="W79" s="315" t="s">
        <v>368</v>
      </c>
      <c r="X79" s="318">
        <v>3.23</v>
      </c>
      <c r="Y79" s="318">
        <v>3.98</v>
      </c>
      <c r="Z79" s="315" t="s">
        <v>368</v>
      </c>
      <c r="AA79" s="315" t="s">
        <v>368</v>
      </c>
      <c r="AB79" s="307" t="s">
        <v>506</v>
      </c>
      <c r="AC79" s="308">
        <v>7.0000000000000007E-2</v>
      </c>
      <c r="AD79" s="309">
        <v>-0.1</v>
      </c>
      <c r="AE79" s="137"/>
      <c r="AF79" s="125"/>
      <c r="AG79" s="125"/>
      <c r="AH79" s="125"/>
      <c r="AI79" s="125"/>
      <c r="AJ79" s="125"/>
      <c r="AK79" s="125"/>
      <c r="AL79" s="125"/>
      <c r="AM79" s="113"/>
      <c r="AN79" s="113"/>
      <c r="AO79" s="339">
        <v>1006428</v>
      </c>
      <c r="AP79" s="339" t="s">
        <v>593</v>
      </c>
      <c r="AQ79" s="340" t="s">
        <v>678</v>
      </c>
      <c r="AR79" s="113"/>
      <c r="AS79" s="113"/>
      <c r="AT79" s="113"/>
      <c r="AU79" s="113"/>
      <c r="AV79" s="113"/>
      <c r="AW79" s="113"/>
      <c r="AX79" s="113"/>
      <c r="AY79" s="113"/>
      <c r="AZ79" s="113"/>
      <c r="BA79" s="113"/>
      <c r="BB79" s="113"/>
      <c r="BC79" s="148"/>
    </row>
    <row r="80" spans="18:55" x14ac:dyDescent="0.2">
      <c r="R80" s="122">
        <v>78</v>
      </c>
      <c r="S80" s="286" t="s">
        <v>352</v>
      </c>
      <c r="T80" s="132" t="s">
        <v>357</v>
      </c>
      <c r="U80" s="316">
        <v>2.94</v>
      </c>
      <c r="V80" s="316">
        <v>4.5599999999999987</v>
      </c>
      <c r="W80" s="315" t="s">
        <v>368</v>
      </c>
      <c r="X80" s="317">
        <v>3.65</v>
      </c>
      <c r="Y80" s="317">
        <v>5.1099999999999985</v>
      </c>
      <c r="Z80" s="315">
        <v>4.49</v>
      </c>
      <c r="AA80" s="315">
        <v>5.0999999999999996</v>
      </c>
      <c r="AB80" s="123" t="s">
        <v>506</v>
      </c>
      <c r="AC80" s="133">
        <v>7.0000000000000007E-2</v>
      </c>
      <c r="AD80" s="124">
        <v>-0.1</v>
      </c>
      <c r="AE80" s="137"/>
      <c r="AF80" s="125"/>
      <c r="AG80" s="125"/>
      <c r="AH80" s="125"/>
      <c r="AI80" s="125"/>
      <c r="AJ80" s="125"/>
      <c r="AK80" s="125"/>
      <c r="AL80" s="125"/>
      <c r="AM80" s="113"/>
      <c r="AN80" s="113"/>
      <c r="AO80" s="339">
        <v>1006685</v>
      </c>
      <c r="AP80" s="339" t="s">
        <v>688</v>
      </c>
      <c r="AQ80" s="340" t="s">
        <v>681</v>
      </c>
      <c r="AR80" s="113"/>
      <c r="AS80" s="113"/>
      <c r="AT80" s="113"/>
      <c r="AU80" s="113"/>
      <c r="AV80" s="113"/>
      <c r="AW80" s="113"/>
      <c r="AX80" s="113"/>
      <c r="AY80" s="113"/>
      <c r="AZ80" s="113"/>
      <c r="BA80" s="113"/>
      <c r="BB80" s="113"/>
      <c r="BC80" s="148"/>
    </row>
    <row r="81" spans="18:55" x14ac:dyDescent="0.2">
      <c r="R81" s="126">
        <v>79</v>
      </c>
      <c r="S81" s="286" t="s">
        <v>352</v>
      </c>
      <c r="T81" s="132" t="s">
        <v>79</v>
      </c>
      <c r="U81" s="316">
        <v>2.94</v>
      </c>
      <c r="V81" s="316">
        <v>4.5599999999999987</v>
      </c>
      <c r="W81" s="315" t="s">
        <v>368</v>
      </c>
      <c r="X81" s="317">
        <v>3.65</v>
      </c>
      <c r="Y81" s="317">
        <v>5.1099999999999985</v>
      </c>
      <c r="Z81" s="315">
        <v>4.49</v>
      </c>
      <c r="AA81" s="315">
        <v>5.0999999999999996</v>
      </c>
      <c r="AB81" s="123" t="s">
        <v>506</v>
      </c>
      <c r="AC81" s="133">
        <v>7.0000000000000007E-2</v>
      </c>
      <c r="AD81" s="124">
        <v>-0.1</v>
      </c>
      <c r="AE81" s="137"/>
      <c r="AF81" s="125"/>
      <c r="AG81" s="125"/>
      <c r="AH81" s="125"/>
      <c r="AI81" s="125"/>
      <c r="AJ81" s="125"/>
      <c r="AK81" s="125"/>
      <c r="AL81" s="125"/>
      <c r="AM81" s="113"/>
      <c r="AN81" s="113"/>
      <c r="AO81" s="339">
        <v>641550</v>
      </c>
      <c r="AP81" s="339" t="s">
        <v>161</v>
      </c>
      <c r="AQ81" s="340"/>
      <c r="AR81" s="113"/>
      <c r="AS81" s="113"/>
      <c r="AT81" s="113"/>
      <c r="AU81" s="113"/>
      <c r="AV81" s="113"/>
      <c r="AW81" s="113"/>
      <c r="AX81" s="113"/>
      <c r="AY81" s="113"/>
      <c r="AZ81" s="113"/>
      <c r="BA81" s="113"/>
      <c r="BB81" s="113"/>
      <c r="BC81" s="148"/>
    </row>
    <row r="82" spans="18:55" x14ac:dyDescent="0.2">
      <c r="R82" s="126">
        <v>80</v>
      </c>
      <c r="S82" s="132" t="s">
        <v>350</v>
      </c>
      <c r="T82" s="132" t="s">
        <v>570</v>
      </c>
      <c r="U82" s="316">
        <v>2.2634325</v>
      </c>
      <c r="V82" s="316">
        <v>3.4774919999999998</v>
      </c>
      <c r="W82" s="315" t="s">
        <v>368</v>
      </c>
      <c r="X82" s="316">
        <v>2.4970000000000003</v>
      </c>
      <c r="Y82" s="316">
        <v>3.2320000000000002</v>
      </c>
      <c r="Z82" s="315">
        <v>3.8134325000000002</v>
      </c>
      <c r="AA82" s="315">
        <v>3.9470000000000001</v>
      </c>
      <c r="AB82" s="123" t="s">
        <v>506</v>
      </c>
      <c r="AC82" s="133">
        <v>7.0000000000000007E-2</v>
      </c>
      <c r="AD82" s="124">
        <v>-0.1</v>
      </c>
      <c r="AE82" s="137"/>
      <c r="AF82" s="125"/>
      <c r="AG82" s="125"/>
      <c r="AH82" s="125"/>
      <c r="AI82" s="125"/>
      <c r="AJ82" s="125"/>
      <c r="AK82" s="125"/>
      <c r="AL82" s="125"/>
      <c r="AM82" s="113"/>
      <c r="AN82" s="113"/>
      <c r="AO82" s="339">
        <v>1006535</v>
      </c>
      <c r="AP82" s="339" t="s">
        <v>182</v>
      </c>
      <c r="AQ82" s="340"/>
      <c r="AR82" s="113"/>
      <c r="AS82" s="113"/>
      <c r="AT82" s="113"/>
      <c r="AU82" s="113"/>
      <c r="AV82" s="113"/>
      <c r="AW82" s="113"/>
      <c r="AX82" s="113"/>
      <c r="AY82" s="113"/>
      <c r="AZ82" s="113"/>
      <c r="BA82" s="113"/>
      <c r="BB82" s="113"/>
      <c r="BC82" s="148"/>
    </row>
    <row r="83" spans="18:55" x14ac:dyDescent="0.2">
      <c r="R83" s="126">
        <v>81</v>
      </c>
      <c r="S83" s="132" t="s">
        <v>350</v>
      </c>
      <c r="T83" s="132" t="s">
        <v>85</v>
      </c>
      <c r="U83" s="316">
        <v>2.1072000000000002</v>
      </c>
      <c r="V83" s="316">
        <v>3.2275200000000006</v>
      </c>
      <c r="W83" s="315" t="s">
        <v>368</v>
      </c>
      <c r="X83" s="316">
        <v>2.2969999999999997</v>
      </c>
      <c r="Y83" s="316">
        <v>2.9120000000000004</v>
      </c>
      <c r="Z83" s="315">
        <v>3.6572000000000005</v>
      </c>
      <c r="AA83" s="315">
        <v>3.7469999999999999</v>
      </c>
      <c r="AB83" s="123" t="s">
        <v>506</v>
      </c>
      <c r="AC83" s="133">
        <v>7.0000000000000007E-2</v>
      </c>
      <c r="AD83" s="124">
        <v>-0.1</v>
      </c>
      <c r="AE83" s="137"/>
      <c r="AF83" s="125"/>
      <c r="AG83" s="125"/>
      <c r="AH83" s="125"/>
      <c r="AI83" s="125"/>
      <c r="AJ83" s="125"/>
      <c r="AK83" s="125"/>
      <c r="AL83" s="125"/>
      <c r="AM83" s="113"/>
      <c r="AN83" s="113"/>
      <c r="AO83" s="339">
        <v>486590</v>
      </c>
      <c r="AP83" s="339" t="s">
        <v>521</v>
      </c>
      <c r="AQ83" s="340"/>
      <c r="AR83" s="113"/>
      <c r="AS83" s="113"/>
      <c r="AT83" s="113"/>
      <c r="AU83" s="113"/>
      <c r="AV83" s="113"/>
      <c r="AW83" s="113"/>
      <c r="AX83" s="113"/>
      <c r="AY83" s="113"/>
      <c r="AZ83" s="113"/>
      <c r="BA83" s="113"/>
      <c r="BB83" s="113"/>
      <c r="BC83" s="148"/>
    </row>
    <row r="84" spans="18:55" x14ac:dyDescent="0.2">
      <c r="R84" s="126">
        <v>82</v>
      </c>
      <c r="S84" s="132" t="s">
        <v>350</v>
      </c>
      <c r="T84" s="132" t="s">
        <v>123</v>
      </c>
      <c r="U84" s="316">
        <v>2.0691750000000004</v>
      </c>
      <c r="V84" s="316">
        <v>3.1666800000000004</v>
      </c>
      <c r="W84" s="315" t="s">
        <v>368</v>
      </c>
      <c r="X84" s="316">
        <v>2.3470000000000004</v>
      </c>
      <c r="Y84" s="316">
        <v>2.992</v>
      </c>
      <c r="Z84" s="315">
        <v>3.6191750000000003</v>
      </c>
      <c r="AA84" s="315">
        <v>3.7970000000000006</v>
      </c>
      <c r="AB84" s="123" t="s">
        <v>506</v>
      </c>
      <c r="AC84" s="133">
        <v>7.0000000000000007E-2</v>
      </c>
      <c r="AD84" s="124">
        <v>-0.1</v>
      </c>
      <c r="AE84" s="137"/>
      <c r="AF84" s="125"/>
      <c r="AG84" s="125"/>
      <c r="AH84" s="125"/>
      <c r="AI84" s="125"/>
      <c r="AJ84" s="125"/>
      <c r="AK84" s="125"/>
      <c r="AL84" s="125"/>
      <c r="AM84" s="113"/>
      <c r="AN84" s="113"/>
      <c r="AO84" s="339">
        <v>412100</v>
      </c>
      <c r="AP84" s="339" t="s">
        <v>689</v>
      </c>
      <c r="AQ84" s="340" t="s">
        <v>681</v>
      </c>
      <c r="AR84" s="113"/>
      <c r="AS84" s="113"/>
      <c r="AT84" s="113"/>
      <c r="AU84" s="113"/>
      <c r="AV84" s="113"/>
      <c r="AW84" s="113"/>
      <c r="AX84" s="113"/>
      <c r="AY84" s="113"/>
      <c r="AZ84" s="113"/>
      <c r="BA84" s="113"/>
      <c r="BB84" s="113"/>
      <c r="BC84" s="148"/>
    </row>
    <row r="85" spans="18:55" x14ac:dyDescent="0.2">
      <c r="R85" s="122">
        <v>83</v>
      </c>
      <c r="S85" s="132" t="s">
        <v>350</v>
      </c>
      <c r="T85" s="132" t="s">
        <v>358</v>
      </c>
      <c r="U85" s="316">
        <v>2.0672000000000001</v>
      </c>
      <c r="V85" s="316">
        <v>3.1635200000000006</v>
      </c>
      <c r="W85" s="126" t="s">
        <v>368</v>
      </c>
      <c r="X85" s="316">
        <v>2.3470000000000004</v>
      </c>
      <c r="Y85" s="316">
        <v>2.992</v>
      </c>
      <c r="Z85" s="315">
        <v>3.6172000000000004</v>
      </c>
      <c r="AA85" s="315">
        <v>3.7970000000000006</v>
      </c>
      <c r="AB85" s="123" t="s">
        <v>506</v>
      </c>
      <c r="AC85" s="133">
        <v>7.0000000000000007E-2</v>
      </c>
      <c r="AD85" s="124">
        <v>-0.1</v>
      </c>
      <c r="AE85" s="137"/>
      <c r="AF85" s="125"/>
      <c r="AG85" s="125"/>
      <c r="AH85" s="125"/>
      <c r="AI85" s="125"/>
      <c r="AJ85" s="125"/>
      <c r="AK85" s="125"/>
      <c r="AL85" s="125"/>
      <c r="AM85" s="113"/>
      <c r="AN85" s="113"/>
      <c r="AO85" s="339">
        <v>5003735</v>
      </c>
      <c r="AP85" s="339" t="s">
        <v>586</v>
      </c>
      <c r="AQ85" s="340">
        <v>42040</v>
      </c>
      <c r="AR85" s="113"/>
      <c r="AS85" s="113"/>
      <c r="AT85" s="113"/>
      <c r="AU85" s="113"/>
      <c r="AV85" s="113"/>
      <c r="AW85" s="113"/>
      <c r="AX85" s="113"/>
      <c r="AY85" s="113"/>
      <c r="AZ85" s="113"/>
      <c r="BA85" s="113"/>
      <c r="BB85" s="113"/>
      <c r="BC85" s="148"/>
    </row>
    <row r="86" spans="18:55" x14ac:dyDescent="0.2">
      <c r="R86" s="126">
        <v>84</v>
      </c>
      <c r="S86" s="132" t="s">
        <v>352</v>
      </c>
      <c r="T86" s="217" t="s">
        <v>42</v>
      </c>
      <c r="U86" s="316">
        <v>2.89</v>
      </c>
      <c r="V86" s="316">
        <v>4.4799999999999995</v>
      </c>
      <c r="W86" s="319" t="s">
        <v>368</v>
      </c>
      <c r="X86" s="317">
        <v>3.6</v>
      </c>
      <c r="Y86" s="317">
        <v>5.0299999999999994</v>
      </c>
      <c r="Z86" s="315">
        <v>4.4400000000000004</v>
      </c>
      <c r="AA86" s="315">
        <v>5.05</v>
      </c>
      <c r="AB86" s="123" t="s">
        <v>506</v>
      </c>
      <c r="AC86" s="133">
        <v>7.0000000000000007E-2</v>
      </c>
      <c r="AD86" s="124">
        <v>-0.1</v>
      </c>
      <c r="AE86" s="137"/>
      <c r="AF86" s="125"/>
      <c r="AG86" s="125"/>
      <c r="AH86" s="125"/>
      <c r="AI86" s="125"/>
      <c r="AJ86" s="125"/>
      <c r="AK86" s="125"/>
      <c r="AL86" s="125"/>
      <c r="AM86" s="113"/>
      <c r="AN86" s="113"/>
      <c r="AO86" s="339">
        <v>1005642</v>
      </c>
      <c r="AP86" s="339" t="s">
        <v>690</v>
      </c>
      <c r="AQ86" s="340" t="s">
        <v>681</v>
      </c>
      <c r="AR86" s="113"/>
      <c r="AS86" s="113"/>
      <c r="AT86" s="113"/>
      <c r="AU86" s="113"/>
      <c r="AV86" s="113"/>
      <c r="AW86" s="113"/>
      <c r="AX86" s="113"/>
      <c r="AY86" s="113"/>
      <c r="AZ86" s="113"/>
      <c r="BA86" s="113"/>
      <c r="BB86" s="113"/>
      <c r="BC86" s="148"/>
    </row>
    <row r="87" spans="18:55" x14ac:dyDescent="0.2">
      <c r="R87" s="126">
        <v>85</v>
      </c>
      <c r="S87" s="132" t="s">
        <v>350</v>
      </c>
      <c r="T87" s="278" t="s">
        <v>232</v>
      </c>
      <c r="U87" s="316">
        <v>1.8794124999999999</v>
      </c>
      <c r="V87" s="316">
        <v>2.8630599999999995</v>
      </c>
      <c r="W87" s="126" t="s">
        <v>368</v>
      </c>
      <c r="X87" s="316">
        <v>2.2595000000000001</v>
      </c>
      <c r="Y87" s="316">
        <v>2.8520000000000003</v>
      </c>
      <c r="Z87" s="315">
        <v>3.4294124999999998</v>
      </c>
      <c r="AA87" s="315">
        <v>3.7095000000000002</v>
      </c>
      <c r="AB87" s="123" t="s">
        <v>506</v>
      </c>
      <c r="AC87" s="133">
        <v>7.0000000000000007E-2</v>
      </c>
      <c r="AD87" s="124">
        <v>-0.1</v>
      </c>
      <c r="AE87" s="137"/>
      <c r="AF87" s="125"/>
      <c r="AG87" s="125"/>
      <c r="AH87" s="125"/>
      <c r="AI87" s="125"/>
      <c r="AJ87" s="125"/>
      <c r="AK87" s="125"/>
      <c r="AL87" s="125"/>
      <c r="AM87" s="113"/>
      <c r="AN87" s="113"/>
      <c r="AO87" s="339">
        <v>5004392</v>
      </c>
      <c r="AP87" s="339" t="s">
        <v>690</v>
      </c>
      <c r="AQ87" s="340" t="s">
        <v>681</v>
      </c>
      <c r="AR87" s="113"/>
      <c r="AS87" s="113"/>
      <c r="AT87" s="113"/>
      <c r="AU87" s="113"/>
      <c r="AV87" s="113"/>
      <c r="AW87" s="113"/>
      <c r="AX87" s="113"/>
      <c r="AY87" s="113"/>
      <c r="AZ87" s="113"/>
      <c r="BA87" s="113"/>
      <c r="BB87" s="113"/>
      <c r="BC87" s="148"/>
    </row>
    <row r="88" spans="18:55" x14ac:dyDescent="0.2">
      <c r="R88" s="126">
        <v>86</v>
      </c>
      <c r="S88" s="132" t="s">
        <v>350</v>
      </c>
      <c r="T88" s="278" t="s">
        <v>122</v>
      </c>
      <c r="U88" s="316">
        <v>1.7356500000000001</v>
      </c>
      <c r="V88" s="316">
        <v>2.6330400000000003</v>
      </c>
      <c r="W88" s="315" t="s">
        <v>368</v>
      </c>
      <c r="X88" s="316">
        <v>2.1720000000000002</v>
      </c>
      <c r="Y88" s="316">
        <v>2.7120000000000002</v>
      </c>
      <c r="Z88" s="315">
        <v>3.2856500000000004</v>
      </c>
      <c r="AA88" s="315">
        <v>3.6219999999999999</v>
      </c>
      <c r="AB88" s="123" t="s">
        <v>506</v>
      </c>
      <c r="AC88" s="133">
        <v>7.0000000000000007E-2</v>
      </c>
      <c r="AD88" s="124">
        <v>-0.1</v>
      </c>
      <c r="AE88" s="137"/>
      <c r="AF88" s="125"/>
      <c r="AG88" s="125"/>
      <c r="AH88" s="125"/>
      <c r="AI88" s="125"/>
      <c r="AJ88" s="125"/>
      <c r="AK88" s="125"/>
      <c r="AL88" s="125"/>
      <c r="AM88" s="113"/>
      <c r="AN88" s="113"/>
      <c r="AO88" s="339">
        <v>99530</v>
      </c>
      <c r="AP88" s="339" t="s">
        <v>150</v>
      </c>
      <c r="AQ88" s="340"/>
      <c r="AR88" s="113"/>
      <c r="AS88" s="113"/>
      <c r="AT88" s="113"/>
      <c r="AU88" s="113"/>
      <c r="AV88" s="113"/>
      <c r="AW88" s="113"/>
      <c r="AX88" s="113"/>
      <c r="AY88" s="113"/>
      <c r="AZ88" s="113"/>
      <c r="BA88" s="113"/>
      <c r="BB88" s="113"/>
      <c r="BC88" s="148"/>
    </row>
    <row r="89" spans="18:55" x14ac:dyDescent="0.2">
      <c r="R89" s="126">
        <v>87</v>
      </c>
      <c r="S89" s="132" t="s">
        <v>350</v>
      </c>
      <c r="T89" s="278" t="s">
        <v>331</v>
      </c>
      <c r="U89" s="316">
        <v>2.62</v>
      </c>
      <c r="V89" s="316">
        <v>4.048</v>
      </c>
      <c r="W89" s="315" t="s">
        <v>368</v>
      </c>
      <c r="X89" s="316">
        <v>2.7295000000000003</v>
      </c>
      <c r="Y89" s="316">
        <v>3.6040000000000001</v>
      </c>
      <c r="Z89" s="315">
        <v>4.17</v>
      </c>
      <c r="AA89" s="315">
        <v>4.1795</v>
      </c>
      <c r="AB89" s="123" t="s">
        <v>506</v>
      </c>
      <c r="AC89" s="133">
        <v>7.0000000000000007E-2</v>
      </c>
      <c r="AD89" s="124">
        <v>-0.1</v>
      </c>
      <c r="AE89" s="137"/>
      <c r="AF89" s="125"/>
      <c r="AG89" s="125"/>
      <c r="AH89" s="125"/>
      <c r="AI89" s="125"/>
      <c r="AJ89" s="125"/>
      <c r="AK89" s="125"/>
      <c r="AL89" s="125"/>
      <c r="AM89" s="113"/>
      <c r="AN89" s="113"/>
      <c r="AO89" s="339">
        <v>918114</v>
      </c>
      <c r="AP89" s="339" t="s">
        <v>150</v>
      </c>
      <c r="AQ89" s="340"/>
      <c r="AR89" s="113"/>
      <c r="AS89" s="113"/>
      <c r="AT89" s="113"/>
      <c r="AU89" s="113"/>
      <c r="AV89" s="113"/>
      <c r="AW89" s="113"/>
      <c r="AX89" s="113"/>
      <c r="AY89" s="113"/>
      <c r="AZ89" s="113"/>
      <c r="BA89" s="113"/>
      <c r="BB89" s="113"/>
      <c r="BC89" s="148"/>
    </row>
    <row r="90" spans="18:55" x14ac:dyDescent="0.2">
      <c r="R90" s="122">
        <v>88</v>
      </c>
      <c r="S90" s="132" t="s">
        <v>350</v>
      </c>
      <c r="T90" s="217" t="s">
        <v>86</v>
      </c>
      <c r="U90" s="316">
        <v>1.7151000000000005</v>
      </c>
      <c r="V90" s="316">
        <v>2.6001600000000011</v>
      </c>
      <c r="W90" s="315" t="s">
        <v>368</v>
      </c>
      <c r="X90" s="316">
        <v>2.1720000000000002</v>
      </c>
      <c r="Y90" s="316">
        <v>2.7120000000000002</v>
      </c>
      <c r="Z90" s="315">
        <v>3.2651000000000003</v>
      </c>
      <c r="AA90" s="315">
        <v>3.6219999999999999</v>
      </c>
      <c r="AB90" s="123" t="s">
        <v>506</v>
      </c>
      <c r="AC90" s="133">
        <v>7.0000000000000007E-2</v>
      </c>
      <c r="AD90" s="124">
        <v>-0.1</v>
      </c>
      <c r="AE90" s="137"/>
      <c r="AF90" s="125"/>
      <c r="AG90" s="125"/>
      <c r="AH90" s="125"/>
      <c r="AI90" s="125"/>
      <c r="AJ90" s="125"/>
      <c r="AK90" s="125"/>
      <c r="AL90" s="125"/>
      <c r="AM90" s="113"/>
      <c r="AN90" s="113"/>
      <c r="AO90" s="339">
        <v>5000207</v>
      </c>
      <c r="AP90" s="339" t="s">
        <v>150</v>
      </c>
      <c r="AQ90" s="340"/>
      <c r="AR90" s="113"/>
      <c r="AS90" s="113"/>
      <c r="AT90" s="113"/>
      <c r="AU90" s="113"/>
      <c r="AV90" s="113"/>
      <c r="AW90" s="113"/>
      <c r="AX90" s="113"/>
      <c r="AY90" s="113"/>
      <c r="AZ90" s="113"/>
      <c r="BA90" s="113"/>
      <c r="BB90" s="113"/>
      <c r="BC90" s="148"/>
    </row>
    <row r="91" spans="18:55" x14ac:dyDescent="0.2">
      <c r="R91" s="126">
        <v>89</v>
      </c>
      <c r="S91" s="132" t="s">
        <v>352</v>
      </c>
      <c r="T91" s="278" t="s">
        <v>65</v>
      </c>
      <c r="U91" s="316">
        <v>3.0900000000000003</v>
      </c>
      <c r="V91" s="316">
        <v>4.7999999999999989</v>
      </c>
      <c r="W91" s="315" t="s">
        <v>368</v>
      </c>
      <c r="X91" s="317">
        <v>3.8000000000000003</v>
      </c>
      <c r="Y91" s="317">
        <v>5.3499999999999988</v>
      </c>
      <c r="Z91" s="315" t="s">
        <v>368</v>
      </c>
      <c r="AA91" s="315" t="s">
        <v>368</v>
      </c>
      <c r="AB91" s="123" t="s">
        <v>506</v>
      </c>
      <c r="AC91" s="133">
        <v>7.0000000000000007E-2</v>
      </c>
      <c r="AD91" s="124">
        <v>-0.1</v>
      </c>
      <c r="AE91" s="137"/>
      <c r="AF91" s="125"/>
      <c r="AG91" s="125"/>
      <c r="AH91" s="125"/>
      <c r="AI91" s="125"/>
      <c r="AJ91" s="125"/>
      <c r="AK91" s="125"/>
      <c r="AL91" s="125"/>
      <c r="AM91" s="113"/>
      <c r="AN91" s="113"/>
      <c r="AO91" s="339">
        <v>5000292</v>
      </c>
      <c r="AP91" s="339" t="s">
        <v>390</v>
      </c>
      <c r="AQ91" s="340"/>
      <c r="AR91" s="113"/>
      <c r="AS91" s="113"/>
      <c r="AT91" s="113"/>
      <c r="AU91" s="113"/>
      <c r="AV91" s="113"/>
      <c r="AW91" s="113"/>
      <c r="AX91" s="113"/>
      <c r="AY91" s="113"/>
      <c r="AZ91" s="113"/>
      <c r="BA91" s="113"/>
      <c r="BB91" s="113"/>
      <c r="BC91" s="148"/>
    </row>
    <row r="92" spans="18:55" x14ac:dyDescent="0.2">
      <c r="R92" s="126">
        <v>90</v>
      </c>
      <c r="S92" s="132" t="s">
        <v>350</v>
      </c>
      <c r="T92" s="278" t="s">
        <v>359</v>
      </c>
      <c r="U92" s="316">
        <v>2.1330250000000004</v>
      </c>
      <c r="V92" s="316">
        <v>3.2688400000000004</v>
      </c>
      <c r="W92" s="315" t="s">
        <v>368</v>
      </c>
      <c r="X92" s="316">
        <v>2.4470000000000001</v>
      </c>
      <c r="Y92" s="316">
        <v>3.1520000000000001</v>
      </c>
      <c r="Z92" s="315">
        <v>3.6830250000000007</v>
      </c>
      <c r="AA92" s="315">
        <v>3.8970000000000002</v>
      </c>
      <c r="AB92" s="123" t="s">
        <v>506</v>
      </c>
      <c r="AC92" s="133">
        <v>7.0000000000000007E-2</v>
      </c>
      <c r="AD92" s="124">
        <v>-0.1</v>
      </c>
      <c r="AE92" s="137"/>
      <c r="AF92" s="125"/>
      <c r="AG92" s="125"/>
      <c r="AH92" s="125"/>
      <c r="AI92" s="125"/>
      <c r="AJ92" s="125"/>
      <c r="AK92" s="125"/>
      <c r="AL92" s="125"/>
      <c r="AM92" s="113"/>
      <c r="AN92" s="113"/>
      <c r="AO92" s="339">
        <v>162560</v>
      </c>
      <c r="AP92" s="339" t="s">
        <v>151</v>
      </c>
      <c r="AQ92" s="340"/>
      <c r="AR92" s="113"/>
      <c r="AS92" s="113"/>
      <c r="AT92" s="113"/>
      <c r="AU92" s="113"/>
      <c r="AV92" s="113"/>
      <c r="AW92" s="113"/>
      <c r="AX92" s="113"/>
      <c r="AY92" s="113"/>
      <c r="AZ92" s="113"/>
      <c r="BA92" s="113"/>
      <c r="BB92" s="113"/>
      <c r="BC92" s="148"/>
    </row>
    <row r="93" spans="18:55" x14ac:dyDescent="0.2">
      <c r="R93" s="126">
        <v>91</v>
      </c>
      <c r="S93" s="132" t="s">
        <v>352</v>
      </c>
      <c r="T93" s="278" t="s">
        <v>334</v>
      </c>
      <c r="U93" s="316">
        <v>2.91</v>
      </c>
      <c r="V93" s="316">
        <v>4.5119999999999996</v>
      </c>
      <c r="W93" s="315" t="s">
        <v>368</v>
      </c>
      <c r="X93" s="317">
        <v>3.62</v>
      </c>
      <c r="Y93" s="317">
        <v>5.0619999999999994</v>
      </c>
      <c r="Z93" s="315">
        <v>4.46</v>
      </c>
      <c r="AA93" s="315">
        <v>5.07</v>
      </c>
      <c r="AB93" s="123" t="s">
        <v>506</v>
      </c>
      <c r="AC93" s="133">
        <v>7.0000000000000007E-2</v>
      </c>
      <c r="AD93" s="124">
        <v>-0.1</v>
      </c>
      <c r="AE93" s="137"/>
      <c r="AF93" s="125"/>
      <c r="AG93" s="125"/>
      <c r="AH93" s="125"/>
      <c r="AI93" s="125"/>
      <c r="AJ93" s="125"/>
      <c r="AK93" s="125"/>
      <c r="AL93" s="125"/>
      <c r="AM93" s="113"/>
      <c r="AN93" s="113"/>
      <c r="AO93" s="339">
        <v>1002136</v>
      </c>
      <c r="AP93" s="339" t="s">
        <v>324</v>
      </c>
      <c r="AQ93" s="340"/>
      <c r="AR93" s="113"/>
      <c r="AS93" s="113"/>
      <c r="AT93" s="113"/>
      <c r="AU93" s="113"/>
      <c r="AV93" s="113"/>
      <c r="AW93" s="113"/>
      <c r="AX93" s="113"/>
      <c r="AY93" s="113"/>
      <c r="AZ93" s="113"/>
      <c r="BA93" s="113"/>
      <c r="BB93" s="113"/>
      <c r="BC93" s="148"/>
    </row>
    <row r="94" spans="18:55" x14ac:dyDescent="0.2">
      <c r="R94" s="126">
        <v>92</v>
      </c>
      <c r="S94" s="132" t="s">
        <v>352</v>
      </c>
      <c r="T94" s="279" t="s">
        <v>76</v>
      </c>
      <c r="U94" s="316">
        <v>2.91</v>
      </c>
      <c r="V94" s="316">
        <v>4.5119999999999996</v>
      </c>
      <c r="W94" s="315" t="s">
        <v>368</v>
      </c>
      <c r="X94" s="317">
        <v>3.62</v>
      </c>
      <c r="Y94" s="317">
        <v>5.0619999999999994</v>
      </c>
      <c r="Z94" s="315">
        <v>4.46</v>
      </c>
      <c r="AA94" s="315">
        <v>5.07</v>
      </c>
      <c r="AB94" s="123" t="s">
        <v>506</v>
      </c>
      <c r="AC94" s="133">
        <v>7.0000000000000007E-2</v>
      </c>
      <c r="AD94" s="124">
        <v>-0.1</v>
      </c>
      <c r="AE94" s="137"/>
      <c r="AF94" s="125"/>
      <c r="AG94" s="125"/>
      <c r="AH94" s="125"/>
      <c r="AI94" s="125"/>
      <c r="AJ94" s="125"/>
      <c r="AK94" s="125"/>
      <c r="AL94" s="125"/>
      <c r="AM94" s="113"/>
      <c r="AN94" s="113"/>
      <c r="AO94" s="339">
        <v>1007394</v>
      </c>
      <c r="AP94" s="339" t="s">
        <v>189</v>
      </c>
      <c r="AQ94" s="340"/>
      <c r="AR94" s="113"/>
      <c r="AS94" s="113"/>
      <c r="AT94" s="113"/>
      <c r="AU94" s="113"/>
      <c r="AV94" s="113"/>
      <c r="AW94" s="113"/>
      <c r="AX94" s="113"/>
      <c r="AY94" s="113"/>
      <c r="AZ94" s="113"/>
      <c r="BA94" s="113"/>
      <c r="BB94" s="113"/>
      <c r="BC94" s="148"/>
    </row>
    <row r="95" spans="18:55" x14ac:dyDescent="0.2">
      <c r="R95" s="122">
        <v>93</v>
      </c>
      <c r="S95" s="132" t="s">
        <v>352</v>
      </c>
      <c r="T95" s="279" t="s">
        <v>87</v>
      </c>
      <c r="U95" s="316">
        <v>2.91</v>
      </c>
      <c r="V95" s="316">
        <v>4.5119999999999996</v>
      </c>
      <c r="W95" s="315" t="s">
        <v>368</v>
      </c>
      <c r="X95" s="317">
        <v>3.62</v>
      </c>
      <c r="Y95" s="317">
        <v>5.0619999999999994</v>
      </c>
      <c r="Z95" s="315">
        <v>4.46</v>
      </c>
      <c r="AA95" s="315">
        <v>5.07</v>
      </c>
      <c r="AB95" s="123" t="s">
        <v>506</v>
      </c>
      <c r="AC95" s="133">
        <v>7.0000000000000007E-2</v>
      </c>
      <c r="AD95" s="124">
        <v>-0.1</v>
      </c>
      <c r="AE95" s="137"/>
      <c r="AF95" s="125"/>
      <c r="AG95" s="125"/>
      <c r="AH95" s="125"/>
      <c r="AI95" s="125"/>
      <c r="AJ95" s="125"/>
      <c r="AM95" s="113"/>
      <c r="AO95" s="339">
        <v>309490</v>
      </c>
      <c r="AP95" s="339" t="s">
        <v>152</v>
      </c>
      <c r="AQ95" s="340"/>
      <c r="AR95" s="113"/>
      <c r="AS95" s="113"/>
      <c r="AZ95" s="113"/>
      <c r="BA95" s="113"/>
      <c r="BB95" s="113"/>
      <c r="BC95" s="148"/>
    </row>
    <row r="96" spans="18:55" x14ac:dyDescent="0.2">
      <c r="R96" s="126">
        <v>94</v>
      </c>
      <c r="S96" s="132" t="s">
        <v>352</v>
      </c>
      <c r="T96" s="279" t="s">
        <v>62</v>
      </c>
      <c r="U96" s="316">
        <v>2.87</v>
      </c>
      <c r="V96" s="316">
        <v>4.4479999999999995</v>
      </c>
      <c r="W96" s="315" t="s">
        <v>368</v>
      </c>
      <c r="X96" s="317">
        <v>3.58</v>
      </c>
      <c r="Y96" s="317">
        <v>4.9979999999999993</v>
      </c>
      <c r="Z96" s="315">
        <v>4.42</v>
      </c>
      <c r="AA96" s="315">
        <v>5.03</v>
      </c>
      <c r="AB96" s="123" t="s">
        <v>507</v>
      </c>
      <c r="AC96" s="133">
        <v>7.0000000000000007E-2</v>
      </c>
      <c r="AD96" s="124">
        <v>-0.1</v>
      </c>
      <c r="AE96" s="137"/>
      <c r="AM96" s="113"/>
      <c r="AO96" s="339">
        <v>1002388</v>
      </c>
      <c r="AP96" s="339" t="s">
        <v>198</v>
      </c>
      <c r="AQ96" s="340"/>
      <c r="AR96" s="113"/>
      <c r="AS96" s="113"/>
      <c r="AZ96" s="113"/>
      <c r="BA96" s="113"/>
      <c r="BB96" s="113"/>
      <c r="BC96" s="148"/>
    </row>
    <row r="97" spans="18:55" x14ac:dyDescent="0.2">
      <c r="R97" s="126">
        <v>95</v>
      </c>
      <c r="S97" s="132" t="s">
        <v>352</v>
      </c>
      <c r="T97" s="279" t="s">
        <v>63</v>
      </c>
      <c r="U97" s="316">
        <v>2.87</v>
      </c>
      <c r="V97" s="316">
        <v>4.4479999999999995</v>
      </c>
      <c r="W97" s="315" t="s">
        <v>368</v>
      </c>
      <c r="X97" s="317">
        <v>3.58</v>
      </c>
      <c r="Y97" s="317">
        <v>4.9979999999999993</v>
      </c>
      <c r="Z97" s="315">
        <v>4.42</v>
      </c>
      <c r="AA97" s="315">
        <v>5.03</v>
      </c>
      <c r="AB97" s="123" t="s">
        <v>507</v>
      </c>
      <c r="AC97" s="133">
        <v>7.0000000000000007E-2</v>
      </c>
      <c r="AD97" s="124">
        <v>-0.1</v>
      </c>
      <c r="AE97" s="137"/>
      <c r="AM97" s="113"/>
      <c r="AO97" s="339">
        <v>553830</v>
      </c>
      <c r="AP97" s="339" t="s">
        <v>594</v>
      </c>
      <c r="AQ97" s="340" t="s">
        <v>678</v>
      </c>
      <c r="AR97" s="113"/>
      <c r="AS97" s="113"/>
      <c r="AZ97" s="113"/>
      <c r="BA97" s="113"/>
      <c r="BB97" s="113"/>
      <c r="BC97" s="148"/>
    </row>
    <row r="98" spans="18:55" x14ac:dyDescent="0.2">
      <c r="R98" s="126">
        <v>96</v>
      </c>
      <c r="S98" s="132" t="s">
        <v>352</v>
      </c>
      <c r="T98" s="126" t="s">
        <v>77</v>
      </c>
      <c r="U98" s="316">
        <v>3.19</v>
      </c>
      <c r="V98" s="316">
        <v>4.9599999999999982</v>
      </c>
      <c r="W98" s="315" t="s">
        <v>368</v>
      </c>
      <c r="X98" s="317">
        <v>3.9</v>
      </c>
      <c r="Y98" s="317">
        <v>5.509999999999998</v>
      </c>
      <c r="Z98" s="315">
        <v>4.74</v>
      </c>
      <c r="AA98" s="315">
        <v>5.35</v>
      </c>
      <c r="AB98" s="123" t="s">
        <v>507</v>
      </c>
      <c r="AC98" s="133">
        <v>7.0000000000000007E-2</v>
      </c>
      <c r="AD98" s="124">
        <v>-0.1</v>
      </c>
      <c r="AE98" s="137"/>
      <c r="AM98" s="113"/>
      <c r="AO98" s="339">
        <v>1007385</v>
      </c>
      <c r="AP98" s="339" t="s">
        <v>594</v>
      </c>
      <c r="AQ98" s="340" t="s">
        <v>678</v>
      </c>
      <c r="AR98" s="113"/>
      <c r="AS98" s="113"/>
      <c r="AZ98" s="113"/>
      <c r="BA98" s="113"/>
      <c r="BB98" s="113"/>
      <c r="BC98" s="148"/>
    </row>
    <row r="99" spans="18:55" x14ac:dyDescent="0.2">
      <c r="R99" s="126">
        <v>97</v>
      </c>
      <c r="S99" s="286" t="s">
        <v>350</v>
      </c>
      <c r="T99" s="126" t="s">
        <v>346</v>
      </c>
      <c r="U99" s="316">
        <v>2.0395075000000005</v>
      </c>
      <c r="V99" s="316">
        <v>3.1192120000000005</v>
      </c>
      <c r="W99" s="315" t="s">
        <v>368</v>
      </c>
      <c r="X99" s="316">
        <v>2.2969999999999997</v>
      </c>
      <c r="Y99" s="316">
        <v>2.9120000000000004</v>
      </c>
      <c r="Z99" s="315">
        <v>3.5895075000000007</v>
      </c>
      <c r="AA99" s="315">
        <v>3.7469999999999999</v>
      </c>
      <c r="AB99" s="123" t="s">
        <v>506</v>
      </c>
      <c r="AC99" s="133">
        <v>7.0000000000000007E-2</v>
      </c>
      <c r="AD99" s="124">
        <v>-0.1</v>
      </c>
      <c r="AE99" s="137"/>
      <c r="AM99" s="113"/>
      <c r="AO99" s="339">
        <v>5000961</v>
      </c>
      <c r="AP99" s="339" t="s">
        <v>594</v>
      </c>
      <c r="AQ99" s="340" t="s">
        <v>678</v>
      </c>
      <c r="AR99" s="113"/>
      <c r="AS99" s="113"/>
      <c r="AZ99" s="113"/>
      <c r="BA99" s="113"/>
      <c r="BB99" s="113"/>
      <c r="BC99" s="148"/>
    </row>
    <row r="100" spans="18:55" x14ac:dyDescent="0.2">
      <c r="R100" s="122">
        <v>98</v>
      </c>
      <c r="S100" s="286" t="s">
        <v>350</v>
      </c>
      <c r="T100" s="126" t="s">
        <v>239</v>
      </c>
      <c r="U100" s="316">
        <v>1.9126750000000006</v>
      </c>
      <c r="V100" s="316">
        <v>2.9162800000000009</v>
      </c>
      <c r="W100" s="126" t="s">
        <v>368</v>
      </c>
      <c r="X100" s="316">
        <v>2.3470000000000004</v>
      </c>
      <c r="Y100" s="316">
        <v>2.992</v>
      </c>
      <c r="Z100" s="315">
        <v>3.4626750000000008</v>
      </c>
      <c r="AA100" s="315">
        <v>3.7970000000000006</v>
      </c>
      <c r="AB100" s="123" t="s">
        <v>506</v>
      </c>
      <c r="AC100" s="133">
        <v>7.0000000000000007E-2</v>
      </c>
      <c r="AD100" s="124">
        <v>-0.1</v>
      </c>
      <c r="AE100" s="137"/>
      <c r="AM100" s="113"/>
      <c r="AO100" s="339">
        <v>1009777</v>
      </c>
      <c r="AP100" s="339" t="s">
        <v>194</v>
      </c>
      <c r="AQ100" s="340"/>
      <c r="AR100" s="113"/>
      <c r="AS100" s="113"/>
      <c r="AZ100" s="113"/>
      <c r="BA100" s="113"/>
      <c r="BB100" s="113"/>
      <c r="BC100" s="148"/>
    </row>
    <row r="101" spans="18:55" x14ac:dyDescent="0.2">
      <c r="R101" s="126">
        <v>99</v>
      </c>
      <c r="S101" s="286" t="s">
        <v>350</v>
      </c>
      <c r="T101" s="126" t="s">
        <v>64</v>
      </c>
      <c r="U101" s="316">
        <v>1.9532250000000002</v>
      </c>
      <c r="V101" s="316">
        <v>2.98116</v>
      </c>
      <c r="W101" s="315" t="s">
        <v>368</v>
      </c>
      <c r="X101" s="316">
        <v>2.3470000000000004</v>
      </c>
      <c r="Y101" s="316">
        <v>2.992</v>
      </c>
      <c r="Z101" s="315">
        <v>3.5032250000000005</v>
      </c>
      <c r="AA101" s="315">
        <v>3.7970000000000006</v>
      </c>
      <c r="AB101" s="123" t="s">
        <v>506</v>
      </c>
      <c r="AC101" s="133">
        <v>7.0000000000000007E-2</v>
      </c>
      <c r="AD101" s="124">
        <v>-0.1</v>
      </c>
      <c r="AE101" s="137"/>
      <c r="AM101" s="113"/>
      <c r="AO101" s="373">
        <v>5004580</v>
      </c>
      <c r="AP101" s="339" t="s">
        <v>691</v>
      </c>
      <c r="AQ101" s="340">
        <v>42810</v>
      </c>
      <c r="AR101" s="113"/>
      <c r="AS101" s="113"/>
      <c r="AZ101" s="113"/>
      <c r="BA101" s="113"/>
      <c r="BB101" s="113"/>
      <c r="BC101" s="148"/>
    </row>
    <row r="102" spans="18:55" x14ac:dyDescent="0.2">
      <c r="R102" s="126">
        <v>100</v>
      </c>
      <c r="S102" s="286" t="s">
        <v>350</v>
      </c>
      <c r="T102" s="126" t="s">
        <v>240</v>
      </c>
      <c r="U102" s="316">
        <v>1.9860575000000003</v>
      </c>
      <c r="V102" s="316">
        <v>3.0336920000000007</v>
      </c>
      <c r="W102" s="126" t="s">
        <v>368</v>
      </c>
      <c r="X102" s="316">
        <v>2.1970000000000001</v>
      </c>
      <c r="Y102" s="316">
        <v>2.7520000000000002</v>
      </c>
      <c r="Z102" s="315">
        <v>3.5360575000000001</v>
      </c>
      <c r="AA102" s="315">
        <v>3.6470000000000002</v>
      </c>
      <c r="AB102" s="123" t="s">
        <v>506</v>
      </c>
      <c r="AC102" s="133">
        <v>7.0000000000000007E-2</v>
      </c>
      <c r="AD102" s="124">
        <v>-0.1</v>
      </c>
      <c r="AE102" s="137"/>
      <c r="AM102" s="113"/>
      <c r="AO102" s="374">
        <v>5004525</v>
      </c>
      <c r="AP102" s="339" t="s">
        <v>691</v>
      </c>
      <c r="AQ102" s="340">
        <v>42810</v>
      </c>
      <c r="AR102" s="113"/>
      <c r="AS102" s="113"/>
      <c r="AZ102" s="113"/>
      <c r="BA102" s="113"/>
      <c r="BB102" s="113"/>
      <c r="BC102" s="148"/>
    </row>
    <row r="103" spans="18:55" x14ac:dyDescent="0.2">
      <c r="R103" s="126">
        <v>101</v>
      </c>
      <c r="S103" s="286" t="s">
        <v>350</v>
      </c>
      <c r="T103" s="126" t="s">
        <v>126</v>
      </c>
      <c r="U103" s="316">
        <v>1.8246500000000001</v>
      </c>
      <c r="V103" s="316">
        <v>2.7754400000000001</v>
      </c>
      <c r="W103" s="315" t="s">
        <v>368</v>
      </c>
      <c r="X103" s="316">
        <v>2.222</v>
      </c>
      <c r="Y103" s="316">
        <v>2.7920000000000003</v>
      </c>
      <c r="Z103" s="315">
        <v>3.3746499999999999</v>
      </c>
      <c r="AA103" s="315">
        <v>3.6719999999999997</v>
      </c>
      <c r="AB103" s="123" t="s">
        <v>506</v>
      </c>
      <c r="AC103" s="133">
        <v>7.0000000000000007E-2</v>
      </c>
      <c r="AD103" s="124">
        <v>-0.1</v>
      </c>
      <c r="AE103" s="137"/>
      <c r="AO103" s="339">
        <v>1000780</v>
      </c>
      <c r="AP103" s="339" t="s">
        <v>692</v>
      </c>
      <c r="AQ103" s="340" t="s">
        <v>681</v>
      </c>
      <c r="AR103" s="113"/>
      <c r="AS103" s="113"/>
      <c r="AZ103" s="113"/>
      <c r="BA103" s="113"/>
      <c r="BB103" s="113"/>
      <c r="BC103" s="148"/>
    </row>
    <row r="104" spans="18:55" x14ac:dyDescent="0.2">
      <c r="R104" s="126">
        <v>102</v>
      </c>
      <c r="S104" s="286" t="s">
        <v>352</v>
      </c>
      <c r="T104" s="126" t="s">
        <v>66</v>
      </c>
      <c r="U104" s="316">
        <v>3.14</v>
      </c>
      <c r="V104" s="316">
        <v>4.879999999999999</v>
      </c>
      <c r="W104" s="315" t="s">
        <v>368</v>
      </c>
      <c r="X104" s="317">
        <v>3.85</v>
      </c>
      <c r="Y104" s="317">
        <v>5.4299999999999988</v>
      </c>
      <c r="Z104" s="315">
        <v>4.6900000000000004</v>
      </c>
      <c r="AA104" s="315">
        <v>5.3</v>
      </c>
      <c r="AB104" s="123" t="s">
        <v>506</v>
      </c>
      <c r="AC104" s="133">
        <v>7.0000000000000007E-2</v>
      </c>
      <c r="AD104" s="124">
        <v>-0.1</v>
      </c>
      <c r="AO104" s="339">
        <v>1009884</v>
      </c>
      <c r="AP104" s="339" t="s">
        <v>692</v>
      </c>
      <c r="AQ104" s="340" t="s">
        <v>681</v>
      </c>
      <c r="AR104" s="113"/>
      <c r="AS104" s="113"/>
      <c r="AZ104" s="113"/>
      <c r="BA104" s="113"/>
      <c r="BB104" s="113"/>
      <c r="BC104" s="148"/>
    </row>
    <row r="105" spans="18:55" x14ac:dyDescent="0.2">
      <c r="R105" s="122">
        <v>103</v>
      </c>
      <c r="S105" s="286" t="s">
        <v>352</v>
      </c>
      <c r="T105" s="126" t="s">
        <v>67</v>
      </c>
      <c r="U105" s="316">
        <v>2.8600000000000003</v>
      </c>
      <c r="V105" s="316">
        <v>4.4319999999999995</v>
      </c>
      <c r="W105" s="315" t="s">
        <v>368</v>
      </c>
      <c r="X105" s="317">
        <v>3.5700000000000003</v>
      </c>
      <c r="Y105" s="317">
        <v>4.9819999999999993</v>
      </c>
      <c r="Z105" s="315">
        <v>4.41</v>
      </c>
      <c r="AA105" s="315">
        <v>5.0200000000000005</v>
      </c>
      <c r="AB105" s="123" t="s">
        <v>506</v>
      </c>
      <c r="AC105" s="133">
        <v>7.0000000000000007E-2</v>
      </c>
      <c r="AD105" s="124">
        <v>-0.1</v>
      </c>
      <c r="AO105" s="339">
        <v>5000056</v>
      </c>
      <c r="AP105" s="339" t="s">
        <v>391</v>
      </c>
      <c r="AQ105" s="340"/>
      <c r="AZ105" s="113"/>
      <c r="BA105" s="113"/>
      <c r="BB105" s="113"/>
      <c r="BC105" s="148"/>
    </row>
    <row r="106" spans="18:55" x14ac:dyDescent="0.2">
      <c r="X106" s="95"/>
      <c r="Y106" s="95"/>
      <c r="Z106" s="95"/>
      <c r="AA106" s="95"/>
      <c r="AB106" s="95"/>
      <c r="AC106" s="95"/>
      <c r="AD106" s="95"/>
      <c r="AE106" s="95"/>
      <c r="AO106" s="339">
        <v>446020</v>
      </c>
      <c r="AP106" s="339" t="s">
        <v>155</v>
      </c>
      <c r="AQ106" s="340"/>
      <c r="AZ106" s="113"/>
      <c r="BA106" s="113"/>
      <c r="BB106" s="113"/>
      <c r="BC106" s="148"/>
    </row>
    <row r="107" spans="18:55" x14ac:dyDescent="0.2">
      <c r="AE107" s="95"/>
      <c r="AO107" s="339">
        <v>5000133</v>
      </c>
      <c r="AP107" s="339" t="s">
        <v>595</v>
      </c>
      <c r="AQ107" s="340" t="s">
        <v>678</v>
      </c>
      <c r="AZ107" s="113"/>
      <c r="BA107" s="113"/>
      <c r="BB107" s="113"/>
      <c r="BC107" s="148"/>
    </row>
    <row r="108" spans="18:55" x14ac:dyDescent="0.2">
      <c r="X108" s="95"/>
      <c r="Y108" s="95"/>
      <c r="Z108" s="95"/>
      <c r="AA108" s="95"/>
      <c r="AB108" s="95"/>
      <c r="AC108" s="95"/>
      <c r="AD108" s="95"/>
      <c r="AE108" s="95"/>
      <c r="AO108" s="339">
        <v>726530</v>
      </c>
      <c r="AP108" s="339" t="s">
        <v>596</v>
      </c>
      <c r="AQ108" s="340" t="s">
        <v>678</v>
      </c>
      <c r="BB108" s="113"/>
      <c r="BC108" s="148"/>
    </row>
    <row r="109" spans="18:55" x14ac:dyDescent="0.2">
      <c r="X109" s="95"/>
      <c r="Y109" s="95"/>
      <c r="Z109" s="95"/>
      <c r="AA109" s="95"/>
      <c r="AB109" s="95"/>
      <c r="AC109" s="95"/>
      <c r="AD109" s="95"/>
      <c r="AE109" s="95"/>
      <c r="AO109" s="339">
        <v>5000770</v>
      </c>
      <c r="AP109" s="339" t="s">
        <v>596</v>
      </c>
      <c r="AQ109" s="340" t="s">
        <v>678</v>
      </c>
      <c r="BB109" s="113"/>
      <c r="BC109" s="148"/>
    </row>
    <row r="110" spans="18:55" x14ac:dyDescent="0.2">
      <c r="X110" s="95"/>
      <c r="Y110" s="95"/>
      <c r="Z110" s="95"/>
      <c r="AA110" s="95"/>
      <c r="AB110" s="95"/>
      <c r="AC110" s="95"/>
      <c r="AD110" s="95"/>
      <c r="AE110" s="95"/>
      <c r="AO110" s="339">
        <v>5001530</v>
      </c>
      <c r="AP110" s="339" t="s">
        <v>360</v>
      </c>
      <c r="AQ110" s="340"/>
      <c r="BC110" s="148"/>
    </row>
    <row r="111" spans="18:55" x14ac:dyDescent="0.2">
      <c r="X111" s="95"/>
      <c r="Y111" s="95"/>
      <c r="Z111" s="95"/>
      <c r="AA111" s="95"/>
      <c r="AB111" s="95"/>
      <c r="AC111" s="95"/>
      <c r="AD111" s="95"/>
      <c r="AE111" s="95"/>
      <c r="AO111" s="339">
        <v>1007997</v>
      </c>
      <c r="AP111" s="339" t="s">
        <v>325</v>
      </c>
      <c r="AQ111" s="340"/>
      <c r="BC111" s="148"/>
    </row>
    <row r="112" spans="18:55" x14ac:dyDescent="0.2">
      <c r="X112" s="95"/>
      <c r="Y112" s="95"/>
      <c r="Z112" s="95"/>
      <c r="AA112" s="95"/>
      <c r="AB112" s="95"/>
      <c r="AC112" s="95"/>
      <c r="AD112" s="95"/>
      <c r="AE112" s="95"/>
      <c r="AO112" s="339">
        <v>1007305</v>
      </c>
      <c r="AP112" s="339" t="s">
        <v>597</v>
      </c>
      <c r="AQ112" s="340" t="s">
        <v>678</v>
      </c>
      <c r="BC112" s="148"/>
    </row>
    <row r="113" spans="24:55" x14ac:dyDescent="0.2">
      <c r="X113" s="95"/>
      <c r="Y113" s="95"/>
      <c r="Z113" s="95"/>
      <c r="AA113" s="95"/>
      <c r="AB113" s="95"/>
      <c r="AC113" s="95"/>
      <c r="AD113" s="95"/>
      <c r="AE113" s="95"/>
      <c r="AO113" s="339">
        <v>4000660</v>
      </c>
      <c r="AP113" s="339" t="s">
        <v>597</v>
      </c>
      <c r="AQ113" s="340" t="s">
        <v>678</v>
      </c>
      <c r="BC113" s="148"/>
    </row>
    <row r="114" spans="24:55" x14ac:dyDescent="0.2">
      <c r="X114" s="95"/>
      <c r="Y114" s="95"/>
      <c r="Z114" s="95"/>
      <c r="AA114" s="95"/>
      <c r="AB114" s="95"/>
      <c r="AC114" s="95"/>
      <c r="AD114" s="95"/>
      <c r="AE114" s="95"/>
      <c r="AO114" s="339">
        <v>909042</v>
      </c>
      <c r="AP114" s="339" t="s">
        <v>992</v>
      </c>
      <c r="AQ114" s="375" t="s">
        <v>993</v>
      </c>
      <c r="BC114" s="148"/>
    </row>
    <row r="115" spans="24:55" x14ac:dyDescent="0.2">
      <c r="X115" s="95"/>
      <c r="Y115" s="95"/>
      <c r="Z115" s="95"/>
      <c r="AA115" s="95"/>
      <c r="AB115" s="95"/>
      <c r="AC115" s="95"/>
      <c r="AD115" s="95"/>
      <c r="AE115" s="95"/>
      <c r="AO115" s="339">
        <v>931607</v>
      </c>
      <c r="AP115" s="339" t="s">
        <v>170</v>
      </c>
      <c r="AQ115" s="340"/>
      <c r="BC115" s="148"/>
    </row>
    <row r="116" spans="24:55" x14ac:dyDescent="0.2">
      <c r="X116" s="95"/>
      <c r="Y116" s="95"/>
      <c r="Z116" s="95"/>
      <c r="AA116" s="95"/>
      <c r="AB116" s="95"/>
      <c r="AC116" s="95"/>
      <c r="AD116" s="95"/>
      <c r="AE116" s="95"/>
      <c r="AO116" s="339">
        <v>1003971</v>
      </c>
      <c r="AP116" s="339" t="s">
        <v>170</v>
      </c>
      <c r="AQ116" s="340"/>
      <c r="BC116" s="148"/>
    </row>
    <row r="117" spans="24:55" x14ac:dyDescent="0.2">
      <c r="X117" s="95"/>
      <c r="Y117" s="95"/>
      <c r="Z117" s="95"/>
      <c r="AA117" s="95"/>
      <c r="AB117" s="95"/>
      <c r="AC117" s="95"/>
      <c r="AD117" s="95"/>
      <c r="AE117" s="95"/>
      <c r="AO117" s="339">
        <v>5000259</v>
      </c>
      <c r="AP117" s="339" t="s">
        <v>170</v>
      </c>
      <c r="AQ117" s="340"/>
      <c r="BC117" s="148"/>
    </row>
    <row r="118" spans="24:55" x14ac:dyDescent="0.2">
      <c r="X118" s="95"/>
      <c r="Y118" s="95"/>
      <c r="Z118" s="95"/>
      <c r="AA118" s="95"/>
      <c r="AB118" s="95"/>
      <c r="AC118" s="95"/>
      <c r="AD118" s="95"/>
      <c r="AE118" s="95"/>
      <c r="AO118" s="339">
        <v>1003618</v>
      </c>
      <c r="AP118" s="339" t="s">
        <v>326</v>
      </c>
      <c r="AQ118" s="340"/>
      <c r="BC118" s="148"/>
    </row>
    <row r="119" spans="24:55" x14ac:dyDescent="0.2">
      <c r="X119" s="95"/>
      <c r="Y119" s="95"/>
      <c r="Z119" s="95"/>
      <c r="AA119" s="95"/>
      <c r="AB119" s="95"/>
      <c r="AC119" s="95"/>
      <c r="AD119" s="95"/>
      <c r="AE119" s="95"/>
      <c r="AO119" s="339">
        <v>5000216</v>
      </c>
      <c r="AP119" s="339" t="s">
        <v>326</v>
      </c>
      <c r="AQ119" s="340"/>
      <c r="BC119" s="148"/>
    </row>
    <row r="120" spans="24:55" x14ac:dyDescent="0.2">
      <c r="X120" s="95"/>
      <c r="Y120" s="95"/>
      <c r="Z120" s="95"/>
      <c r="AA120" s="95"/>
      <c r="AB120" s="95"/>
      <c r="AC120" s="95"/>
      <c r="AD120" s="95"/>
      <c r="AE120" s="95"/>
      <c r="AO120" s="339">
        <v>908467</v>
      </c>
      <c r="AP120" s="339" t="s">
        <v>522</v>
      </c>
      <c r="AQ120" s="340"/>
      <c r="BC120" s="148"/>
    </row>
    <row r="121" spans="24:55" x14ac:dyDescent="0.2">
      <c r="X121" s="95"/>
      <c r="Y121" s="95"/>
      <c r="Z121" s="95"/>
      <c r="AA121" s="95"/>
      <c r="AB121" s="95"/>
      <c r="AC121" s="95"/>
      <c r="AD121" s="95"/>
      <c r="AE121" s="95"/>
      <c r="AO121" s="339">
        <v>763600</v>
      </c>
      <c r="AP121" s="339" t="s">
        <v>392</v>
      </c>
      <c r="AQ121" s="340"/>
      <c r="BC121" s="148"/>
    </row>
    <row r="122" spans="24:55" x14ac:dyDescent="0.2">
      <c r="X122" s="95"/>
      <c r="Y122" s="95"/>
      <c r="Z122" s="95"/>
      <c r="AA122" s="95"/>
      <c r="AB122" s="95"/>
      <c r="AC122" s="95"/>
      <c r="AD122" s="95"/>
      <c r="AE122" s="95"/>
      <c r="AO122" s="339">
        <v>5000143</v>
      </c>
      <c r="AP122" s="339" t="s">
        <v>393</v>
      </c>
      <c r="AQ122" s="340"/>
      <c r="BC122" s="148"/>
    </row>
    <row r="123" spans="24:55" x14ac:dyDescent="0.2">
      <c r="X123" s="95"/>
      <c r="Y123" s="95"/>
      <c r="Z123" s="95"/>
      <c r="AA123" s="95"/>
      <c r="AB123" s="95"/>
      <c r="AC123" s="95"/>
      <c r="AD123" s="95"/>
      <c r="AO123" s="339">
        <v>1005841</v>
      </c>
      <c r="AP123" s="339" t="s">
        <v>178</v>
      </c>
      <c r="AQ123" s="340"/>
      <c r="BC123" s="148"/>
    </row>
    <row r="124" spans="24:55" x14ac:dyDescent="0.2">
      <c r="X124" s="95"/>
      <c r="Y124" s="95"/>
      <c r="Z124" s="95"/>
      <c r="AA124" s="95"/>
      <c r="AB124" s="95"/>
      <c r="AC124" s="95"/>
      <c r="AD124" s="95"/>
      <c r="AO124" s="339">
        <v>1007265</v>
      </c>
      <c r="AP124" s="339" t="s">
        <v>523</v>
      </c>
      <c r="AQ124" s="340"/>
      <c r="BC124" s="148"/>
    </row>
    <row r="125" spans="24:55" x14ac:dyDescent="0.2">
      <c r="AO125" s="339">
        <v>1006216</v>
      </c>
      <c r="AP125" s="339" t="s">
        <v>524</v>
      </c>
      <c r="AQ125" s="340"/>
      <c r="BC125" s="148"/>
    </row>
    <row r="126" spans="24:55" x14ac:dyDescent="0.2">
      <c r="AO126" s="339">
        <v>165250</v>
      </c>
      <c r="AP126" s="339" t="s">
        <v>693</v>
      </c>
      <c r="AQ126" s="340" t="s">
        <v>681</v>
      </c>
      <c r="BC126" s="148"/>
    </row>
    <row r="127" spans="24:55" x14ac:dyDescent="0.2">
      <c r="AO127" s="339">
        <v>1006903</v>
      </c>
      <c r="AP127" s="339" t="s">
        <v>694</v>
      </c>
      <c r="AQ127" s="340" t="s">
        <v>681</v>
      </c>
      <c r="BC127" s="148"/>
    </row>
    <row r="128" spans="24:55" x14ac:dyDescent="0.2">
      <c r="AO128" s="339">
        <v>5000294</v>
      </c>
      <c r="AP128" s="339" t="s">
        <v>695</v>
      </c>
      <c r="AQ128" s="340" t="s">
        <v>681</v>
      </c>
      <c r="BC128" s="148"/>
    </row>
    <row r="129" spans="41:55" x14ac:dyDescent="0.2">
      <c r="AO129" s="339">
        <v>5004087</v>
      </c>
      <c r="AP129" s="339" t="s">
        <v>696</v>
      </c>
      <c r="AQ129" s="340"/>
      <c r="BC129" s="148"/>
    </row>
    <row r="130" spans="41:55" x14ac:dyDescent="0.2">
      <c r="AO130" s="339">
        <v>614120</v>
      </c>
      <c r="AP130" s="339" t="s">
        <v>160</v>
      </c>
      <c r="AQ130" s="340"/>
      <c r="BC130" s="148"/>
    </row>
    <row r="131" spans="41:55" x14ac:dyDescent="0.2">
      <c r="AO131" s="339">
        <v>5001104</v>
      </c>
      <c r="AP131" s="339" t="s">
        <v>160</v>
      </c>
      <c r="AQ131" s="340"/>
    </row>
    <row r="132" spans="41:55" x14ac:dyDescent="0.2">
      <c r="AO132" s="339">
        <v>1003535</v>
      </c>
      <c r="AP132" s="339" t="s">
        <v>199</v>
      </c>
      <c r="AQ132" s="340"/>
    </row>
    <row r="133" spans="41:55" x14ac:dyDescent="0.2">
      <c r="AO133" s="339">
        <v>1006518</v>
      </c>
      <c r="AP133" s="339" t="s">
        <v>181</v>
      </c>
      <c r="AQ133" s="340"/>
    </row>
    <row r="134" spans="41:55" x14ac:dyDescent="0.2">
      <c r="AO134" s="339">
        <v>240940</v>
      </c>
      <c r="AP134" s="339" t="s">
        <v>697</v>
      </c>
      <c r="AQ134" s="340"/>
    </row>
    <row r="135" spans="41:55" x14ac:dyDescent="0.2">
      <c r="AO135" s="339">
        <v>729040</v>
      </c>
      <c r="AP135" s="339" t="s">
        <v>525</v>
      </c>
      <c r="AQ135" s="340"/>
    </row>
    <row r="136" spans="41:55" x14ac:dyDescent="0.2">
      <c r="AO136" s="339">
        <v>663870</v>
      </c>
      <c r="AP136" s="339" t="s">
        <v>163</v>
      </c>
      <c r="AQ136" s="340"/>
    </row>
    <row r="137" spans="41:55" x14ac:dyDescent="0.2">
      <c r="AO137" s="339">
        <v>946389</v>
      </c>
      <c r="AP137" s="339" t="s">
        <v>163</v>
      </c>
      <c r="AQ137" s="340"/>
    </row>
    <row r="138" spans="41:55" x14ac:dyDescent="0.2">
      <c r="AO138" s="339">
        <v>5000338</v>
      </c>
      <c r="AP138" s="339" t="s">
        <v>163</v>
      </c>
      <c r="AQ138" s="340"/>
    </row>
    <row r="139" spans="41:55" x14ac:dyDescent="0.2">
      <c r="AO139" s="371">
        <v>5002100</v>
      </c>
      <c r="AP139" s="339" t="s">
        <v>698</v>
      </c>
      <c r="AQ139" s="340">
        <v>42810</v>
      </c>
    </row>
    <row r="140" spans="41:55" x14ac:dyDescent="0.2">
      <c r="AO140" s="339">
        <v>1001914</v>
      </c>
      <c r="AP140" s="339" t="s">
        <v>584</v>
      </c>
      <c r="AQ140" s="340"/>
    </row>
    <row r="141" spans="41:55" x14ac:dyDescent="0.2">
      <c r="AO141" s="339">
        <v>1006928</v>
      </c>
      <c r="AP141" s="339" t="s">
        <v>185</v>
      </c>
      <c r="AQ141" s="340"/>
    </row>
    <row r="142" spans="41:55" x14ac:dyDescent="0.2">
      <c r="AO142" s="339">
        <v>1007184</v>
      </c>
      <c r="AP142" s="339" t="s">
        <v>185</v>
      </c>
      <c r="AQ142" s="340"/>
    </row>
    <row r="143" spans="41:55" x14ac:dyDescent="0.2">
      <c r="AO143" s="339">
        <v>641540</v>
      </c>
      <c r="AP143" s="339" t="s">
        <v>394</v>
      </c>
      <c r="AQ143" s="340"/>
    </row>
    <row r="144" spans="41:55" x14ac:dyDescent="0.2">
      <c r="AO144" s="339">
        <v>503190</v>
      </c>
      <c r="AP144" s="339" t="s">
        <v>585</v>
      </c>
      <c r="AQ144" s="340"/>
    </row>
    <row r="145" spans="41:43" x14ac:dyDescent="0.2">
      <c r="AO145" s="339">
        <v>1000960</v>
      </c>
      <c r="AP145" s="339" t="s">
        <v>526</v>
      </c>
      <c r="AQ145" s="340"/>
    </row>
    <row r="146" spans="41:43" x14ac:dyDescent="0.2">
      <c r="AO146" s="339">
        <v>1004073</v>
      </c>
      <c r="AP146" s="339" t="s">
        <v>176</v>
      </c>
      <c r="AQ146" s="340"/>
    </row>
    <row r="147" spans="41:43" x14ac:dyDescent="0.2">
      <c r="AO147" s="339">
        <v>5000678</v>
      </c>
      <c r="AP147" s="339" t="s">
        <v>176</v>
      </c>
      <c r="AQ147" s="340"/>
    </row>
    <row r="148" spans="41:43" x14ac:dyDescent="0.2">
      <c r="AO148" s="339">
        <v>1007909</v>
      </c>
      <c r="AP148" s="339" t="s">
        <v>699</v>
      </c>
      <c r="AQ148" s="340"/>
    </row>
    <row r="149" spans="41:43" x14ac:dyDescent="0.2">
      <c r="AO149" s="339">
        <v>261190</v>
      </c>
      <c r="AP149" s="339" t="s">
        <v>700</v>
      </c>
      <c r="AQ149" s="340" t="s">
        <v>681</v>
      </c>
    </row>
    <row r="150" spans="41:43" x14ac:dyDescent="0.2">
      <c r="AO150" s="339">
        <v>294390</v>
      </c>
      <c r="AP150" s="339" t="s">
        <v>700</v>
      </c>
      <c r="AQ150" s="340" t="s">
        <v>681</v>
      </c>
    </row>
    <row r="151" spans="41:43" x14ac:dyDescent="0.2">
      <c r="AO151" s="339">
        <v>5001217</v>
      </c>
      <c r="AP151" s="339" t="s">
        <v>700</v>
      </c>
      <c r="AQ151" s="340" t="s">
        <v>681</v>
      </c>
    </row>
    <row r="152" spans="41:43" x14ac:dyDescent="0.2">
      <c r="AO152" s="339">
        <v>1006179</v>
      </c>
      <c r="AP152" s="339" t="s">
        <v>180</v>
      </c>
      <c r="AQ152" s="340"/>
    </row>
    <row r="153" spans="41:43" x14ac:dyDescent="0.2">
      <c r="AO153" s="339">
        <v>1009733</v>
      </c>
      <c r="AP153" s="339" t="s">
        <v>193</v>
      </c>
      <c r="AQ153" s="340"/>
    </row>
    <row r="154" spans="41:43" x14ac:dyDescent="0.2">
      <c r="AO154" s="376">
        <v>5001163</v>
      </c>
      <c r="AP154" s="377" t="s">
        <v>994</v>
      </c>
      <c r="AQ154" s="378"/>
    </row>
    <row r="155" spans="41:43" x14ac:dyDescent="0.2">
      <c r="AO155" s="339">
        <v>539670</v>
      </c>
      <c r="AP155" s="339" t="s">
        <v>157</v>
      </c>
      <c r="AQ155" s="340"/>
    </row>
    <row r="156" spans="41:43" x14ac:dyDescent="0.2">
      <c r="AO156" s="339">
        <v>959164</v>
      </c>
      <c r="AP156" s="339" t="s">
        <v>157</v>
      </c>
      <c r="AQ156" s="340"/>
    </row>
    <row r="157" spans="41:43" x14ac:dyDescent="0.2">
      <c r="AO157" s="339">
        <v>5001052</v>
      </c>
      <c r="AP157" s="339" t="s">
        <v>157</v>
      </c>
      <c r="AQ157" s="340"/>
    </row>
    <row r="158" spans="41:43" x14ac:dyDescent="0.2">
      <c r="AO158" s="339">
        <v>4000642</v>
      </c>
      <c r="AP158" s="339" t="s">
        <v>598</v>
      </c>
      <c r="AQ158" s="340" t="s">
        <v>678</v>
      </c>
    </row>
    <row r="159" spans="41:43" x14ac:dyDescent="0.2">
      <c r="AO159" s="339">
        <v>4000481</v>
      </c>
      <c r="AP159" s="339" t="s">
        <v>327</v>
      </c>
      <c r="AQ159" s="340"/>
    </row>
    <row r="160" spans="41:43" x14ac:dyDescent="0.2">
      <c r="AO160" s="339">
        <v>5000205</v>
      </c>
      <c r="AP160" s="339" t="s">
        <v>395</v>
      </c>
      <c r="AQ160" s="340"/>
    </row>
    <row r="161" spans="41:43" x14ac:dyDescent="0.2">
      <c r="AO161" s="339">
        <v>532520</v>
      </c>
      <c r="AP161" s="339" t="s">
        <v>156</v>
      </c>
      <c r="AQ161" s="340"/>
    </row>
    <row r="162" spans="41:43" x14ac:dyDescent="0.2">
      <c r="AO162" s="339">
        <v>1037813</v>
      </c>
      <c r="AP162" s="339" t="s">
        <v>701</v>
      </c>
      <c r="AQ162" s="340"/>
    </row>
    <row r="163" spans="41:43" x14ac:dyDescent="0.2">
      <c r="AO163" s="339">
        <v>46519</v>
      </c>
      <c r="AP163" s="339" t="s">
        <v>599</v>
      </c>
      <c r="AQ163" s="340" t="s">
        <v>678</v>
      </c>
    </row>
    <row r="164" spans="41:43" x14ac:dyDescent="0.2">
      <c r="AO164" s="339">
        <v>1006768</v>
      </c>
      <c r="AP164" s="339" t="s">
        <v>200</v>
      </c>
      <c r="AQ164" s="340"/>
    </row>
    <row r="165" spans="41:43" x14ac:dyDescent="0.2">
      <c r="AO165" s="339">
        <v>1035625</v>
      </c>
      <c r="AP165" s="339" t="s">
        <v>200</v>
      </c>
      <c r="AQ165" s="340"/>
    </row>
    <row r="166" spans="41:43" x14ac:dyDescent="0.2">
      <c r="AO166" s="339">
        <v>1001853</v>
      </c>
      <c r="AP166" s="339" t="s">
        <v>174</v>
      </c>
      <c r="AQ166" s="340"/>
    </row>
    <row r="167" spans="41:43" x14ac:dyDescent="0.2">
      <c r="AO167" s="339">
        <v>5001905</v>
      </c>
      <c r="AP167" s="339" t="s">
        <v>396</v>
      </c>
      <c r="AQ167" s="340"/>
    </row>
    <row r="168" spans="41:43" x14ac:dyDescent="0.2">
      <c r="AO168" s="339">
        <v>947431</v>
      </c>
      <c r="AP168" s="339" t="s">
        <v>172</v>
      </c>
      <c r="AQ168" s="340" t="s">
        <v>681</v>
      </c>
    </row>
    <row r="169" spans="41:43" x14ac:dyDescent="0.2">
      <c r="AO169" s="339">
        <v>1004349</v>
      </c>
      <c r="AP169" s="339" t="s">
        <v>172</v>
      </c>
      <c r="AQ169" s="340"/>
    </row>
    <row r="170" spans="41:43" x14ac:dyDescent="0.2">
      <c r="AO170" s="339">
        <v>1002484</v>
      </c>
      <c r="AP170" s="339" t="s">
        <v>702</v>
      </c>
      <c r="AQ170" s="340" t="s">
        <v>681</v>
      </c>
    </row>
    <row r="171" spans="41:43" x14ac:dyDescent="0.2">
      <c r="AO171" s="339">
        <v>1009532</v>
      </c>
      <c r="AP171" s="339" t="s">
        <v>192</v>
      </c>
      <c r="AQ171" s="340"/>
    </row>
    <row r="172" spans="41:43" x14ac:dyDescent="0.2">
      <c r="AO172" s="339">
        <v>5000758</v>
      </c>
      <c r="AP172" s="339" t="s">
        <v>192</v>
      </c>
      <c r="AQ172" s="340"/>
    </row>
    <row r="173" spans="41:43" x14ac:dyDescent="0.2">
      <c r="AO173" s="339">
        <v>1009529</v>
      </c>
      <c r="AP173" s="339" t="s">
        <v>397</v>
      </c>
      <c r="AQ173" s="340"/>
    </row>
    <row r="174" spans="41:43" x14ac:dyDescent="0.2">
      <c r="AO174" s="379"/>
      <c r="AP174" s="380"/>
      <c r="AQ174" s="381"/>
    </row>
    <row r="175" spans="41:43" x14ac:dyDescent="0.2">
      <c r="AO175" s="371">
        <v>909042</v>
      </c>
      <c r="AP175" s="339" t="s">
        <v>992</v>
      </c>
      <c r="AQ175" s="340">
        <v>2018</v>
      </c>
    </row>
    <row r="176" spans="41:43" x14ac:dyDescent="0.2">
      <c r="AO176" s="339">
        <v>1002388</v>
      </c>
      <c r="AP176" s="339" t="s">
        <v>198</v>
      </c>
      <c r="AQ176" s="382"/>
    </row>
  </sheetData>
  <sheetProtection algorithmName="SHA-512" hashValue="xCVIVXpnK6l7joXLqvcIB9kTiontQFoJDH0EIWlIOYO23u6bwNso1tl0HBkue0FU050vOVZMwW1JQq/0GOpWOw==" saltValue="Gvn0LeETGei8cXDehrKuZA==" spinCount="100000" sheet="1" formatCells="0" formatColumns="0" formatRows="0" insertColumns="0" insertRows="0" insertHyperlinks="0" deleteColumns="0" deleteRows="0" sort="0" autoFilter="0" pivotTables="0"/>
  <protectedRanges>
    <protectedRange sqref="K28:L34 H28:J45 K36:L45 G27:G45 M28:P45 H26:P27" name="Range1"/>
  </protectedRanges>
  <autoFilter ref="R1:AD105" xr:uid="{00000000-0009-0000-0000-000001000000}"/>
  <sortState ref="AO2:AQ168">
    <sortCondition ref="AP2:AP168"/>
  </sortState>
  <mergeCells count="63">
    <mergeCell ref="E5:F5"/>
    <mergeCell ref="B5:C5"/>
    <mergeCell ref="B8:C9"/>
    <mergeCell ref="B7:C7"/>
    <mergeCell ref="C2:D2"/>
    <mergeCell ref="E3:F3"/>
    <mergeCell ref="C3:D3"/>
    <mergeCell ref="E2:G2"/>
    <mergeCell ref="E8:G8"/>
    <mergeCell ref="E9:G9"/>
    <mergeCell ref="E6:G6"/>
    <mergeCell ref="E7:G7"/>
    <mergeCell ref="H2:I2"/>
    <mergeCell ref="M1:P1"/>
    <mergeCell ref="M2:P2"/>
    <mergeCell ref="M3:P3"/>
    <mergeCell ref="M12:N12"/>
    <mergeCell ref="K1:L1"/>
    <mergeCell ref="K2:L2"/>
    <mergeCell ref="K3:L3"/>
    <mergeCell ref="M14:N14"/>
    <mergeCell ref="K5:M5"/>
    <mergeCell ref="N5:P5"/>
    <mergeCell ref="J12:L12"/>
    <mergeCell ref="J13:L13"/>
    <mergeCell ref="J14:L14"/>
    <mergeCell ref="M13:N13"/>
    <mergeCell ref="H5:J5"/>
    <mergeCell ref="A43:F45"/>
    <mergeCell ref="B16:G16"/>
    <mergeCell ref="H16:J16"/>
    <mergeCell ref="D26:E26"/>
    <mergeCell ref="D24:E24"/>
    <mergeCell ref="F27:F32"/>
    <mergeCell ref="G25:P25"/>
    <mergeCell ref="I22:J22"/>
    <mergeCell ref="K16:P16"/>
    <mergeCell ref="G26:P45"/>
    <mergeCell ref="I17:J18"/>
    <mergeCell ref="D21:G21"/>
    <mergeCell ref="A17:B18"/>
    <mergeCell ref="C17:G18"/>
    <mergeCell ref="B19:G19"/>
    <mergeCell ref="D38:F40"/>
    <mergeCell ref="A8:A9"/>
    <mergeCell ref="D8:D9"/>
    <mergeCell ref="E12:G12"/>
    <mergeCell ref="E14:G14"/>
    <mergeCell ref="B12:C12"/>
    <mergeCell ref="B13:C13"/>
    <mergeCell ref="E13:G13"/>
    <mergeCell ref="B14:C14"/>
    <mergeCell ref="E10:G10"/>
    <mergeCell ref="B11:C11"/>
    <mergeCell ref="B10:C10"/>
    <mergeCell ref="E11:G11"/>
    <mergeCell ref="F20:G20"/>
    <mergeCell ref="M17:P17"/>
    <mergeCell ref="M18:P18"/>
    <mergeCell ref="H20:J21"/>
    <mergeCell ref="K20:P20"/>
    <mergeCell ref="K21:P24"/>
    <mergeCell ref="M19:P19"/>
  </mergeCells>
  <phoneticPr fontId="2" type="noConversion"/>
  <conditionalFormatting sqref="C36:C41">
    <cfRule type="expression" dxfId="4" priority="37">
      <formula>C36&gt;AJ37</formula>
    </cfRule>
  </conditionalFormatting>
  <conditionalFormatting sqref="G22:H23">
    <cfRule type="expression" dxfId="3" priority="39">
      <formula>$AJ$19=FALSE</formula>
    </cfRule>
  </conditionalFormatting>
  <conditionalFormatting sqref="D23">
    <cfRule type="expression" dxfId="2" priority="5">
      <formula>$AJ$13=TRUE</formula>
    </cfRule>
  </conditionalFormatting>
  <conditionalFormatting sqref="E23">
    <cfRule type="expression" dxfId="1" priority="4">
      <formula>$AJ$13=TRUE</formula>
    </cfRule>
  </conditionalFormatting>
  <dataValidations xWindow="890" yWindow="678" count="20">
    <dataValidation type="custom" allowBlank="1" showInputMessage="1" showErrorMessage="1" sqref="H8" xr:uid="{00000000-0002-0000-0100-000000000000}">
      <formula1>AND(H7=FALSE)</formula1>
    </dataValidation>
    <dataValidation allowBlank="1" showInputMessage="1" showErrorMessage="1" promptTitle="ODC" prompt="If ODC is applicable use 1 % rate" sqref="B31" xr:uid="{00000000-0002-0000-0100-000001000000}"/>
    <dataValidation type="list" allowBlank="1" showInputMessage="1" showErrorMessage="1" promptTitle="GSP Eligibility" prompt="Is the item GSP eligible?" sqref="B30" xr:uid="{00000000-0002-0000-0100-000002000000}">
      <formula1>Yes_No</formula1>
    </dataValidation>
    <dataValidation type="list" allowBlank="1" showInputMessage="1" showErrorMessage="1" promptTitle="Payment Terms" prompt="Select or enter vendor payment terms" sqref="E5:F5" xr:uid="{00000000-0002-0000-0100-000003000000}">
      <formula1>Payment_Terms</formula1>
    </dataValidation>
    <dataValidation type="list" allowBlank="1" showInputMessage="1" showErrorMessage="1" prompt="Select PDQ Type" sqref="I17" xr:uid="{00000000-0002-0000-0100-000004000000}">
      <formula1>PDQList</formula1>
    </dataValidation>
    <dataValidation type="decimal" operator="greaterThan" allowBlank="1" showInputMessage="1" showErrorMessage="1" errorTitle="Value!" error="Value must be greater than zero." promptTitle="FOB Cost in Quoted Currency" prompt="Enter FOB cost per piece in the quoted currency.  The FOB cost per piece in US Dollars will be calculated and populated below." sqref="F25" xr:uid="{00000000-0002-0000-0100-000005000000}">
      <formula1>0</formula1>
    </dataValidation>
    <dataValidation type="list" allowBlank="1" showInputMessage="1" showErrorMessage="1" promptTitle="Package Type" prompt="Select package type from the list" sqref="M17" xr:uid="{00000000-0002-0000-0100-000006000000}">
      <formula1>PackageType</formula1>
    </dataValidation>
    <dataValidation type="list" allowBlank="1" showInputMessage="1" showErrorMessage="1" promptTitle="Brand" prompt="Select brand from the list" sqref="M18" xr:uid="{00000000-0002-0000-0100-000007000000}">
      <formula1>Brand</formula1>
    </dataValidation>
    <dataValidation type="textLength" operator="equal" allowBlank="1" showInputMessage="1" showErrorMessage="1" errorTitle="Invalid UPC Format" error="UPC number must be 12 digits" promptTitle="UPC Number" prompt="Enter the full 12 digit UPC number; including check digit" sqref="C23" xr:uid="{00000000-0002-0000-0100-000008000000}">
      <formula1>12</formula1>
    </dataValidation>
    <dataValidation type="textLength" operator="equal" allowBlank="1" showInputMessage="1" showErrorMessage="1" errorTitle="Invalid EAN Number" error="EAN must be 13 digits" promptTitle="EAN Number" prompt="Enter the 13 digit EAN number" sqref="C25" xr:uid="{00000000-0002-0000-0100-000009000000}">
      <formula1>13</formula1>
    </dataValidation>
    <dataValidation allowBlank="1" showInputMessage="1" showErrorMessage="1" promptTitle="NOTE" prompt="For Non-Combo Items: Master Pack (Pcs) is the total number of sellable units in a master carton.  _x000a__x000a_For Combo Items: Master Pack (Pcs) is the number of shippable cartons inside (Complete Combo Article Breakdown tab for detailed breakdown)" sqref="D23" xr:uid="{00000000-0002-0000-0100-00000A000000}"/>
    <dataValidation allowBlank="1" showInputMessage="1" showErrorMessage="1" promptTitle="Pallets Per Container" prompt="Pallets that would fit based on the Rate Type selected (Container Size).  Make sure to limit accordingly if it will exceed the maximum weight of a container." sqref="H23" xr:uid="{00000000-0002-0000-0100-00000B000000}"/>
    <dataValidation allowBlank="1" showInputMessage="1" showErrorMessage="1" promptTitle="Pieces Per Pallet" prompt="Total Pieces(Eaches) that would fit on a pallet the way it would be shipped." sqref="G23" xr:uid="{00000000-0002-0000-0100-00000C000000}"/>
    <dataValidation allowBlank="1" showInputMessage="1" showErrorMessage="1" prompt="Container Weight will highlight red if total pieces exceeds maximum for selected Rate Type" sqref="B36:B41" xr:uid="{00000000-0002-0000-0100-00000D000000}"/>
    <dataValidation allowBlank="1" showInputMessage="1" showErrorMessage="1" promptTitle="Detailed Description" prompt="List in detail (by component if applicable) the product specifications including but not limited to: Dimensions of each piece, Material Composition, if Fabric GSM or Thread Count, Finishes, Color, Gauge, Weight, Package Contents, Assortment Details, MOQ.." sqref="A19" xr:uid="{00000000-0002-0000-0100-00000E000000}"/>
    <dataValidation allowBlank="1" showInputMessage="1" showErrorMessage="1" promptTitle="Country of Origin" prompt="Country of Origin is where the product is produced and is not always going to be the same as the country from which it is shipping." sqref="C3:D3" xr:uid="{00000000-0002-0000-0100-00000F000000}"/>
    <dataValidation allowBlank="1" showInputMessage="1" showErrorMessage="1" promptTitle="ISTA Compliance" prompt="Is the item ISTA compliant?" sqref="J23:J24" xr:uid="{00000000-0002-0000-0100-000010000000}"/>
    <dataValidation allowBlank="1" showInputMessage="1" showErrorMessage="1" promptTitle="NOTE" prompt="Non-Combo Items: Carton Inner Pk (Pcs) is the number of sellable units in the inner carton._x000a__x000a_Combo Items: Carton Inner Pk (Pcs) always = 1.  Each individual component might have separate inners and it would be entered on the Combo Article Breakdown tab." sqref="E23" xr:uid="{00000000-0002-0000-0100-000011000000}"/>
    <dataValidation allowBlank="1" showInputMessage="1" showErrorMessage="1" promptTitle="Note" prompt="If item is a Combo Article, you must complete the Combo Article Breakdown Tab" sqref="B19:G19" xr:uid="{00000000-0002-0000-0100-000012000000}"/>
    <dataValidation type="textLength" operator="lessThanOrEqual" allowBlank="1" showInputMessage="1" showErrorMessage="1" errorTitle="More than 20 Characters" error="Input must be limited to 20 characters or less" sqref="A23" xr:uid="{00000000-0002-0000-0100-000013000000}">
      <formula1>20</formula1>
    </dataValidation>
  </dataValidations>
  <printOptions horizontalCentered="1" verticalCentered="1"/>
  <pageMargins left="0.51" right="0.16" top="0.5" bottom="0.5" header="0.25" footer="0.25"/>
  <pageSetup scale="76" orientation="landscape" r:id="rId1"/>
  <headerFooter alignWithMargins="0">
    <oddHeader>&amp;C&amp;"Arial,Bold"&amp;14IMPORT PRODUCT DATA SHEET
Big Lots&amp;R&amp;D</oddHeader>
    <oddFooter>&amp;C&amp;Z&amp;F&amp;R&amp;P of &amp;N</oddFooter>
  </headerFooter>
  <ignoredErrors>
    <ignoredError sqref="F23 E27 C36 C6 F26:F34 F36 E29:E32 B36:B37 B38:B41 AX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4</xdr:col>
                    <xdr:colOff>47625</xdr:colOff>
                    <xdr:row>2</xdr:row>
                    <xdr:rowOff>9525</xdr:rowOff>
                  </from>
                  <to>
                    <xdr:col>7</xdr:col>
                    <xdr:colOff>0</xdr:colOff>
                    <xdr:row>2</xdr:row>
                    <xdr:rowOff>219075</xdr:rowOff>
                  </to>
                </anchor>
              </controlPr>
            </control>
          </mc:Choice>
        </mc:AlternateContent>
        <mc:AlternateContent xmlns:mc="http://schemas.openxmlformats.org/markup-compatibility/2006">
          <mc:Choice Requires="x14">
            <control shapeId="1037" r:id="rId5" name="Drop Down 13">
              <controlPr defaultSize="0" autoLine="0" autoPict="0">
                <anchor moveWithCells="1">
                  <from>
                    <xdr:col>7</xdr:col>
                    <xdr:colOff>104775</xdr:colOff>
                    <xdr:row>2</xdr:row>
                    <xdr:rowOff>9525</xdr:rowOff>
                  </from>
                  <to>
                    <xdr:col>8</xdr:col>
                    <xdr:colOff>561975</xdr:colOff>
                    <xdr:row>2</xdr:row>
                    <xdr:rowOff>219075</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11</xdr:col>
                    <xdr:colOff>66675</xdr:colOff>
                    <xdr:row>3</xdr:row>
                    <xdr:rowOff>47625</xdr:rowOff>
                  </from>
                  <to>
                    <xdr:col>14</xdr:col>
                    <xdr:colOff>295275</xdr:colOff>
                    <xdr:row>3</xdr:row>
                    <xdr:rowOff>219075</xdr:rowOff>
                  </to>
                </anchor>
              </controlPr>
            </control>
          </mc:Choice>
        </mc:AlternateContent>
        <mc:AlternateContent xmlns:mc="http://schemas.openxmlformats.org/markup-compatibility/2006">
          <mc:Choice Requires="x14">
            <control shapeId="1068" r:id="rId7" name="Drop Down 44">
              <controlPr defaultSize="0" autoLine="0" autoPict="0">
                <anchor moveWithCells="1">
                  <from>
                    <xdr:col>3</xdr:col>
                    <xdr:colOff>0</xdr:colOff>
                    <xdr:row>24</xdr:row>
                    <xdr:rowOff>28575</xdr:rowOff>
                  </from>
                  <to>
                    <xdr:col>4</xdr:col>
                    <xdr:colOff>657225</xdr:colOff>
                    <xdr:row>24</xdr:row>
                    <xdr:rowOff>228600</xdr:rowOff>
                  </to>
                </anchor>
              </controlPr>
            </control>
          </mc:Choice>
        </mc:AlternateContent>
        <mc:AlternateContent xmlns:mc="http://schemas.openxmlformats.org/markup-compatibility/2006">
          <mc:Choice Requires="x14">
            <control shapeId="2" r:id="rId8" name="Drop Down 45">
              <controlPr defaultSize="0" autoLine="0" autoPict="0">
                <anchor moveWithCells="1">
                  <from>
                    <xdr:col>9</xdr:col>
                    <xdr:colOff>152400</xdr:colOff>
                    <xdr:row>2</xdr:row>
                    <xdr:rowOff>0</xdr:rowOff>
                  </from>
                  <to>
                    <xdr:col>9</xdr:col>
                    <xdr:colOff>1038225</xdr:colOff>
                    <xdr:row>2</xdr:row>
                    <xdr:rowOff>219075</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0</xdr:col>
                    <xdr:colOff>838200</xdr:colOff>
                    <xdr:row>23</xdr:row>
                    <xdr:rowOff>47625</xdr:rowOff>
                  </from>
                  <to>
                    <xdr:col>1</xdr:col>
                    <xdr:colOff>704850</xdr:colOff>
                    <xdr:row>23</xdr:row>
                    <xdr:rowOff>219075</xdr:rowOff>
                  </to>
                </anchor>
              </controlPr>
            </control>
          </mc:Choice>
        </mc:AlternateContent>
        <mc:AlternateContent xmlns:mc="http://schemas.openxmlformats.org/markup-compatibility/2006">
          <mc:Choice Requires="x14">
            <control shapeId="1093" r:id="rId10" name="Check Box 69">
              <controlPr defaultSize="0" autoFill="0" autoLine="0" autoPict="0">
                <anchor moveWithCells="1">
                  <from>
                    <xdr:col>11</xdr:col>
                    <xdr:colOff>47625</xdr:colOff>
                    <xdr:row>18</xdr:row>
                    <xdr:rowOff>9525</xdr:rowOff>
                  </from>
                  <to>
                    <xdr:col>15</xdr:col>
                    <xdr:colOff>9525</xdr:colOff>
                    <xdr:row>18</xdr:row>
                    <xdr:rowOff>152400</xdr:rowOff>
                  </to>
                </anchor>
              </controlPr>
            </control>
          </mc:Choice>
        </mc:AlternateContent>
        <mc:AlternateContent xmlns:mc="http://schemas.openxmlformats.org/markup-compatibility/2006">
          <mc:Choice Requires="x14">
            <control shapeId="1095" r:id="rId11" name="Check Box 71">
              <controlPr defaultSize="0" autoFill="0" autoLine="0" autoPict="0">
                <anchor moveWithCells="1">
                  <from>
                    <xdr:col>0</xdr:col>
                    <xdr:colOff>9525</xdr:colOff>
                    <xdr:row>24</xdr:row>
                    <xdr:rowOff>85725</xdr:rowOff>
                  </from>
                  <to>
                    <xdr:col>1</xdr:col>
                    <xdr:colOff>752475</xdr:colOff>
                    <xdr:row>24</xdr:row>
                    <xdr:rowOff>228600</xdr:rowOff>
                  </to>
                </anchor>
              </controlPr>
            </control>
          </mc:Choice>
        </mc:AlternateContent>
        <mc:AlternateContent xmlns:mc="http://schemas.openxmlformats.org/markup-compatibility/2006">
          <mc:Choice Requires="x14">
            <control shapeId="1101" r:id="rId12" name="Check Box 77">
              <controlPr defaultSize="0" autoFill="0" autoLine="0" autoPict="0">
                <anchor moveWithCells="1">
                  <from>
                    <xdr:col>7</xdr:col>
                    <xdr:colOff>523875</xdr:colOff>
                    <xdr:row>21</xdr:row>
                    <xdr:rowOff>295275</xdr:rowOff>
                  </from>
                  <to>
                    <xdr:col>9</xdr:col>
                    <xdr:colOff>1038225</xdr:colOff>
                    <xdr:row>23</xdr:row>
                    <xdr:rowOff>28575</xdr:rowOff>
                  </to>
                </anchor>
              </controlPr>
            </control>
          </mc:Choice>
        </mc:AlternateContent>
        <mc:AlternateContent xmlns:mc="http://schemas.openxmlformats.org/markup-compatibility/2006">
          <mc:Choice Requires="x14">
            <control shapeId="1110" r:id="rId13" name="Check Box 86">
              <controlPr defaultSize="0" autoFill="0" autoLine="0" autoPict="0">
                <anchor moveWithCells="1">
                  <from>
                    <xdr:col>7</xdr:col>
                    <xdr:colOff>523875</xdr:colOff>
                    <xdr:row>23</xdr:row>
                    <xdr:rowOff>38100</xdr:rowOff>
                  </from>
                  <to>
                    <xdr:col>9</xdr:col>
                    <xdr:colOff>1200150</xdr:colOff>
                    <xdr:row>23</xdr:row>
                    <xdr:rowOff>228600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pageSetUpPr fitToPage="1"/>
  </sheetPr>
  <dimension ref="A1:L32"/>
  <sheetViews>
    <sheetView showGridLines="0" zoomScaleSheetLayoutView="100" workbookViewId="0">
      <selection activeCell="A13" sqref="A13"/>
    </sheetView>
  </sheetViews>
  <sheetFormatPr defaultColWidth="9.140625" defaultRowHeight="12.75" x14ac:dyDescent="0.2"/>
  <cols>
    <col min="1" max="1" width="11.140625" customWidth="1"/>
    <col min="2" max="2" width="11.28515625" customWidth="1"/>
    <col min="3" max="3" width="24.42578125" customWidth="1"/>
    <col min="4" max="4" width="28.42578125" customWidth="1"/>
    <col min="5" max="6" width="10.42578125" customWidth="1"/>
    <col min="7" max="7" width="9.42578125" customWidth="1"/>
    <col min="10" max="10" width="9.140625" customWidth="1"/>
  </cols>
  <sheetData>
    <row r="1" spans="1:12" ht="12.75" customHeight="1" thickBot="1" x14ac:dyDescent="0.25">
      <c r="A1" s="533" t="s">
        <v>105</v>
      </c>
      <c r="B1" s="533"/>
      <c r="C1" s="533"/>
      <c r="D1" s="533"/>
      <c r="E1" s="533"/>
      <c r="F1" s="533"/>
      <c r="G1" s="533"/>
      <c r="H1" s="533"/>
      <c r="I1" s="533"/>
      <c r="J1" s="77"/>
      <c r="K1" s="77"/>
    </row>
    <row r="2" spans="1:12" ht="15.75" customHeight="1" thickBot="1" x14ac:dyDescent="0.25">
      <c r="A2" s="546" t="s">
        <v>467</v>
      </c>
      <c r="B2" s="547"/>
      <c r="C2" s="547"/>
      <c r="D2" s="547"/>
      <c r="E2" s="547"/>
      <c r="F2" s="547"/>
      <c r="G2" s="547"/>
      <c r="H2" s="547"/>
      <c r="I2" s="548"/>
      <c r="J2" s="233"/>
      <c r="K2" s="233"/>
      <c r="L2" s="233"/>
    </row>
    <row r="3" spans="1:12" x14ac:dyDescent="0.2">
      <c r="A3" s="260" t="s">
        <v>469</v>
      </c>
      <c r="B3" s="4"/>
      <c r="C3" s="4"/>
      <c r="D3" s="4"/>
      <c r="E3" s="4"/>
      <c r="F3" s="4"/>
      <c r="G3" s="4"/>
      <c r="H3" s="4"/>
      <c r="I3" s="243"/>
      <c r="J3" s="233"/>
      <c r="K3" s="233"/>
    </row>
    <row r="4" spans="1:12" x14ac:dyDescent="0.2">
      <c r="A4" s="4"/>
      <c r="B4" s="4"/>
      <c r="C4" s="4"/>
      <c r="D4" s="4"/>
      <c r="E4" s="4"/>
      <c r="F4" s="4"/>
      <c r="G4" s="4"/>
      <c r="H4" s="4"/>
      <c r="J4" s="233"/>
      <c r="K4" s="233"/>
    </row>
    <row r="5" spans="1:12" ht="48.75" customHeight="1" x14ac:dyDescent="0.2">
      <c r="A5" s="545" t="s">
        <v>474</v>
      </c>
      <c r="B5" s="545"/>
      <c r="C5" s="545"/>
      <c r="D5" s="545"/>
      <c r="E5" s="545"/>
      <c r="F5" s="545"/>
      <c r="G5" s="545"/>
      <c r="H5" s="545"/>
      <c r="I5" s="545"/>
      <c r="J5" s="5"/>
      <c r="K5" s="77"/>
    </row>
    <row r="6" spans="1:12" x14ac:dyDescent="0.2">
      <c r="A6" s="233"/>
      <c r="B6" s="233"/>
      <c r="C6" s="233"/>
      <c r="D6" s="233"/>
      <c r="E6" s="233"/>
      <c r="F6" s="233"/>
      <c r="G6" s="233"/>
      <c r="H6" s="233"/>
      <c r="I6" s="233"/>
      <c r="J6" s="77"/>
      <c r="K6" s="77"/>
    </row>
    <row r="7" spans="1:12" ht="22.5" customHeight="1" thickBot="1" x14ac:dyDescent="0.25">
      <c r="A7" s="534" t="s">
        <v>453</v>
      </c>
      <c r="B7" s="534"/>
      <c r="C7" s="534"/>
      <c r="D7" s="534"/>
      <c r="E7" s="2"/>
      <c r="F7" s="2"/>
      <c r="G7" s="2"/>
      <c r="H7" s="2"/>
      <c r="J7" s="77"/>
      <c r="K7" s="77"/>
    </row>
    <row r="8" spans="1:12" x14ac:dyDescent="0.2">
      <c r="A8" s="535">
        <f>DetDesc</f>
        <v>0</v>
      </c>
      <c r="B8" s="536"/>
      <c r="C8" s="536"/>
      <c r="D8" s="536"/>
      <c r="E8" s="536"/>
      <c r="F8" s="536"/>
      <c r="G8" s="536"/>
      <c r="H8" s="536"/>
      <c r="I8" s="537"/>
      <c r="J8" s="77"/>
      <c r="K8" s="77"/>
    </row>
    <row r="9" spans="1:12" x14ac:dyDescent="0.2">
      <c r="A9" s="538"/>
      <c r="B9" s="539"/>
      <c r="C9" s="539"/>
      <c r="D9" s="539"/>
      <c r="E9" s="539"/>
      <c r="F9" s="539"/>
      <c r="G9" s="539"/>
      <c r="H9" s="539"/>
      <c r="I9" s="540"/>
      <c r="J9" s="77"/>
      <c r="K9" s="77"/>
    </row>
    <row r="10" spans="1:12" ht="13.5" thickBot="1" x14ac:dyDescent="0.25">
      <c r="A10" s="541"/>
      <c r="B10" s="542"/>
      <c r="C10" s="542"/>
      <c r="D10" s="542"/>
      <c r="E10" s="542"/>
      <c r="F10" s="542"/>
      <c r="G10" s="542"/>
      <c r="H10" s="542"/>
      <c r="I10" s="543"/>
      <c r="J10" s="77"/>
      <c r="K10" s="77"/>
    </row>
    <row r="11" spans="1:12" x14ac:dyDescent="0.2">
      <c r="A11" s="6"/>
      <c r="B11" s="6"/>
      <c r="C11" s="6"/>
      <c r="D11" s="6"/>
      <c r="E11" s="6"/>
      <c r="F11" s="6"/>
      <c r="G11" s="6"/>
      <c r="H11" s="6"/>
      <c r="I11" s="6"/>
      <c r="J11" s="233"/>
      <c r="K11" s="233"/>
    </row>
    <row r="12" spans="1:12" ht="22.5" x14ac:dyDescent="0.2">
      <c r="A12" s="239" t="s">
        <v>568</v>
      </c>
      <c r="B12" s="239" t="s">
        <v>22</v>
      </c>
      <c r="C12" s="239" t="s">
        <v>44</v>
      </c>
      <c r="D12" s="239" t="s">
        <v>9</v>
      </c>
      <c r="E12" s="239" t="s">
        <v>451</v>
      </c>
      <c r="F12" s="239" t="s">
        <v>10</v>
      </c>
      <c r="G12" s="239" t="s">
        <v>452</v>
      </c>
      <c r="H12" s="239" t="s">
        <v>5</v>
      </c>
      <c r="I12" s="239" t="s">
        <v>32</v>
      </c>
      <c r="J12" s="77"/>
      <c r="K12" s="77"/>
    </row>
    <row r="13" spans="1:12" x14ac:dyDescent="0.2">
      <c r="A13" s="234"/>
      <c r="B13" s="234"/>
      <c r="C13" s="234"/>
      <c r="D13" s="234"/>
      <c r="E13" s="235"/>
      <c r="F13" s="236"/>
      <c r="G13" s="237"/>
      <c r="H13" s="238"/>
      <c r="I13" s="238"/>
      <c r="J13" s="77"/>
      <c r="K13" s="77"/>
    </row>
    <row r="14" spans="1:12" x14ac:dyDescent="0.2">
      <c r="A14" s="78"/>
      <c r="B14" s="78"/>
      <c r="C14" s="78"/>
      <c r="D14" s="78"/>
      <c r="E14" s="235"/>
      <c r="F14" s="79"/>
      <c r="G14" s="227"/>
      <c r="H14" s="228"/>
      <c r="I14" s="228"/>
      <c r="J14" s="77"/>
      <c r="K14" s="77"/>
    </row>
    <row r="15" spans="1:12" x14ac:dyDescent="0.2">
      <c r="A15" s="78"/>
      <c r="B15" s="78"/>
      <c r="C15" s="78"/>
      <c r="D15" s="78"/>
      <c r="E15" s="235"/>
      <c r="F15" s="79"/>
      <c r="G15" s="227"/>
      <c r="H15" s="228"/>
      <c r="I15" s="228"/>
      <c r="J15" s="77"/>
      <c r="K15" s="77"/>
    </row>
    <row r="16" spans="1:12" x14ac:dyDescent="0.2">
      <c r="A16" s="78"/>
      <c r="B16" s="78"/>
      <c r="C16" s="78"/>
      <c r="D16" s="78"/>
      <c r="E16" s="235"/>
      <c r="F16" s="79"/>
      <c r="G16" s="227"/>
      <c r="H16" s="228"/>
      <c r="I16" s="228"/>
      <c r="J16" s="77"/>
      <c r="K16" s="77"/>
    </row>
    <row r="17" spans="1:11" x14ac:dyDescent="0.2">
      <c r="A17" s="78"/>
      <c r="B17" s="78"/>
      <c r="C17" s="78"/>
      <c r="D17" s="78"/>
      <c r="E17" s="235"/>
      <c r="F17" s="79"/>
      <c r="G17" s="227"/>
      <c r="H17" s="228"/>
      <c r="I17" s="228"/>
      <c r="J17" s="77"/>
      <c r="K17" s="77"/>
    </row>
    <row r="18" spans="1:11" x14ac:dyDescent="0.2">
      <c r="A18" s="78"/>
      <c r="B18" s="78"/>
      <c r="C18" s="78"/>
      <c r="D18" s="78"/>
      <c r="E18" s="235"/>
      <c r="F18" s="79"/>
      <c r="G18" s="227"/>
      <c r="H18" s="228"/>
      <c r="I18" s="228"/>
      <c r="J18" s="77"/>
      <c r="K18" s="77"/>
    </row>
    <row r="19" spans="1:11" x14ac:dyDescent="0.2">
      <c r="A19" s="78"/>
      <c r="B19" s="78"/>
      <c r="C19" s="78"/>
      <c r="D19" s="78"/>
      <c r="E19" s="235"/>
      <c r="F19" s="79"/>
      <c r="G19" s="227"/>
      <c r="H19" s="228"/>
      <c r="I19" s="228"/>
      <c r="J19" s="77"/>
      <c r="K19" s="77"/>
    </row>
    <row r="20" spans="1:11" x14ac:dyDescent="0.2">
      <c r="A20" s="78"/>
      <c r="B20" s="78"/>
      <c r="C20" s="78"/>
      <c r="D20" s="78"/>
      <c r="E20" s="235"/>
      <c r="F20" s="79"/>
      <c r="G20" s="227"/>
      <c r="H20" s="228"/>
      <c r="I20" s="228"/>
      <c r="J20" s="77"/>
      <c r="K20" s="77"/>
    </row>
    <row r="21" spans="1:11" x14ac:dyDescent="0.2">
      <c r="A21" s="78"/>
      <c r="B21" s="78"/>
      <c r="C21" s="78"/>
      <c r="D21" s="78"/>
      <c r="E21" s="235"/>
      <c r="F21" s="79"/>
      <c r="G21" s="227"/>
      <c r="H21" s="228"/>
      <c r="I21" s="228"/>
      <c r="J21" s="77"/>
      <c r="K21" s="77"/>
    </row>
    <row r="22" spans="1:11" x14ac:dyDescent="0.2">
      <c r="A22" s="78"/>
      <c r="B22" s="78"/>
      <c r="C22" s="78"/>
      <c r="D22" s="78"/>
      <c r="E22" s="235"/>
      <c r="F22" s="79"/>
      <c r="G22" s="227"/>
      <c r="H22" s="228"/>
      <c r="I22" s="228"/>
      <c r="J22" s="77"/>
      <c r="K22" s="77"/>
    </row>
    <row r="23" spans="1:11" x14ac:dyDescent="0.2">
      <c r="A23" s="78"/>
      <c r="B23" s="78"/>
      <c r="C23" s="78"/>
      <c r="D23" s="78"/>
      <c r="E23" s="235"/>
      <c r="F23" s="79"/>
      <c r="G23" s="227"/>
      <c r="H23" s="228"/>
      <c r="I23" s="228"/>
      <c r="J23" s="77"/>
      <c r="K23" s="77"/>
    </row>
    <row r="24" spans="1:11" x14ac:dyDescent="0.2">
      <c r="A24" s="78"/>
      <c r="B24" s="78"/>
      <c r="C24" s="78"/>
      <c r="D24" s="78"/>
      <c r="E24" s="235"/>
      <c r="F24" s="79"/>
      <c r="G24" s="227"/>
      <c r="H24" s="228"/>
      <c r="I24" s="228"/>
      <c r="J24" s="77"/>
      <c r="K24" s="77"/>
    </row>
    <row r="25" spans="1:11" x14ac:dyDescent="0.2">
      <c r="A25" s="78"/>
      <c r="B25" s="78"/>
      <c r="C25" s="78"/>
      <c r="D25" s="78"/>
      <c r="E25" s="235"/>
      <c r="F25" s="79"/>
      <c r="G25" s="227"/>
      <c r="H25" s="228"/>
      <c r="I25" s="228"/>
      <c r="J25" s="77"/>
      <c r="K25" s="77"/>
    </row>
    <row r="26" spans="1:11" x14ac:dyDescent="0.2">
      <c r="A26" s="78"/>
      <c r="B26" s="78"/>
      <c r="C26" s="78"/>
      <c r="D26" s="78"/>
      <c r="E26" s="235"/>
      <c r="F26" s="79"/>
      <c r="G26" s="227"/>
      <c r="H26" s="228"/>
      <c r="I26" s="228"/>
      <c r="J26" s="77"/>
      <c r="K26" s="77"/>
    </row>
    <row r="27" spans="1:11" x14ac:dyDescent="0.2">
      <c r="A27" s="78"/>
      <c r="B27" s="78"/>
      <c r="C27" s="78"/>
      <c r="D27" s="78"/>
      <c r="E27" s="235"/>
      <c r="F27" s="79"/>
      <c r="G27" s="227"/>
      <c r="H27" s="228"/>
      <c r="I27" s="228"/>
      <c r="J27" s="77"/>
      <c r="K27" s="77"/>
    </row>
    <row r="28" spans="1:11" x14ac:dyDescent="0.2">
      <c r="A28" s="8"/>
      <c r="B28" s="8"/>
      <c r="C28" s="8"/>
      <c r="D28" s="12"/>
      <c r="E28" s="235"/>
      <c r="F28" s="11"/>
      <c r="G28" s="544" t="s">
        <v>23</v>
      </c>
      <c r="H28" s="544"/>
      <c r="I28" s="544"/>
      <c r="J28" s="77"/>
      <c r="K28" s="77"/>
    </row>
    <row r="29" spans="1:11" x14ac:dyDescent="0.2">
      <c r="J29" s="77"/>
      <c r="K29" s="77"/>
    </row>
    <row r="30" spans="1:11" x14ac:dyDescent="0.2">
      <c r="J30" s="77"/>
      <c r="K30" s="77"/>
    </row>
    <row r="31" spans="1:11" x14ac:dyDescent="0.2">
      <c r="K31" s="77"/>
    </row>
    <row r="32" spans="1:11" x14ac:dyDescent="0.2">
      <c r="K32" s="77"/>
    </row>
  </sheetData>
  <mergeCells count="6">
    <mergeCell ref="A1:I1"/>
    <mergeCell ref="A7:D7"/>
    <mergeCell ref="A8:I10"/>
    <mergeCell ref="G28:I28"/>
    <mergeCell ref="A5:I5"/>
    <mergeCell ref="A2:I2"/>
  </mergeCells>
  <dataValidations count="2">
    <dataValidation allowBlank="1" showInputMessage="1" showErrorMessage="1" promptTitle="% of Total Weight" prompt="Input the % of the material compared to the total weight of the item" sqref="E13:E28" xr:uid="{00000000-0002-0000-0200-000000000000}"/>
    <dataValidation allowBlank="1" showInputMessage="1" showErrorMessage="1" promptTitle="Cost" prompt="Cost should be in US Dollars" sqref="F13" xr:uid="{00000000-0002-0000-0200-000001000000}"/>
  </dataValidations>
  <pageMargins left="0.75" right="0.75" top="1" bottom="1" header="0.5" footer="0.5"/>
  <pageSetup scale="97" orientation="landscape"/>
  <headerFooter alignWithMargins="0">
    <oddHeader>&amp;C&amp;F
&amp;R&amp;D</oddHeader>
    <oddFooter>&amp;C&amp;A&amp;R&amp;P of &amp;N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A1:O33"/>
  <sheetViews>
    <sheetView showGridLines="0" zoomScaleSheetLayoutView="100" workbookViewId="0">
      <selection activeCell="G14" sqref="G14"/>
    </sheetView>
  </sheetViews>
  <sheetFormatPr defaultColWidth="9.140625" defaultRowHeight="12.75" x14ac:dyDescent="0.2"/>
  <cols>
    <col min="1" max="1" width="11.140625" customWidth="1"/>
    <col min="2" max="4" width="11.85546875" customWidth="1"/>
    <col min="5" max="5" width="37" customWidth="1"/>
    <col min="6" max="6" width="39.42578125" customWidth="1"/>
    <col min="7" max="7" width="9.42578125" customWidth="1"/>
    <col min="8" max="8" width="12.85546875" customWidth="1"/>
    <col min="9" max="9" width="13" customWidth="1"/>
    <col min="10" max="11" width="9.42578125" customWidth="1"/>
    <col min="12" max="12" width="11.140625" customWidth="1"/>
    <col min="14" max="14" width="9.140625" customWidth="1"/>
  </cols>
  <sheetData>
    <row r="1" spans="1:15" ht="13.5" customHeight="1" thickBot="1" x14ac:dyDescent="0.25">
      <c r="A1" s="553" t="s">
        <v>457</v>
      </c>
      <c r="B1" s="553"/>
      <c r="C1" s="553"/>
      <c r="D1" s="553"/>
      <c r="E1" s="553"/>
      <c r="F1" s="553"/>
      <c r="G1" s="553"/>
      <c r="H1" s="553"/>
      <c r="I1" s="553"/>
      <c r="J1" s="553"/>
      <c r="K1" s="553"/>
      <c r="L1" s="553"/>
      <c r="M1" s="553"/>
    </row>
    <row r="2" spans="1:15" ht="16.5" customHeight="1" thickBot="1" x14ac:dyDescent="0.25">
      <c r="A2" s="546" t="s">
        <v>449</v>
      </c>
      <c r="B2" s="547"/>
      <c r="C2" s="547"/>
      <c r="D2" s="547"/>
      <c r="E2" s="547"/>
      <c r="F2" s="547"/>
      <c r="G2" s="547"/>
      <c r="H2" s="547"/>
      <c r="I2" s="547"/>
      <c r="J2" s="547"/>
      <c r="K2" s="547"/>
      <c r="L2" s="547"/>
      <c r="M2" s="547"/>
      <c r="N2" s="548"/>
      <c r="O2" s="231"/>
    </row>
    <row r="3" spans="1:15" ht="16.5" customHeight="1" x14ac:dyDescent="0.2">
      <c r="A3" s="262" t="s">
        <v>578</v>
      </c>
      <c r="N3" s="231"/>
      <c r="O3" s="231"/>
    </row>
    <row r="4" spans="1:15" ht="16.5" customHeight="1" x14ac:dyDescent="0.2">
      <c r="N4" s="231"/>
      <c r="O4" s="231"/>
    </row>
    <row r="5" spans="1:15" x14ac:dyDescent="0.2">
      <c r="N5" s="231"/>
      <c r="O5" s="231"/>
    </row>
    <row r="6" spans="1:15" ht="12.75" customHeight="1" x14ac:dyDescent="0.2">
      <c r="A6" s="558" t="s">
        <v>443</v>
      </c>
      <c r="B6" s="558"/>
      <c r="C6" s="558"/>
      <c r="D6" s="558"/>
      <c r="E6" s="558"/>
      <c r="F6" s="558"/>
      <c r="G6" s="558"/>
      <c r="H6" s="558"/>
      <c r="I6" s="558"/>
      <c r="J6" s="231"/>
      <c r="K6" s="233"/>
      <c r="L6" s="231"/>
      <c r="M6" s="231"/>
      <c r="N6" s="231"/>
      <c r="O6" s="231"/>
    </row>
    <row r="7" spans="1:15" ht="22.5" x14ac:dyDescent="0.2">
      <c r="A7" s="240" t="s">
        <v>448</v>
      </c>
      <c r="B7" s="240" t="s">
        <v>444</v>
      </c>
      <c r="C7" s="320" t="s">
        <v>576</v>
      </c>
      <c r="D7" s="320" t="s">
        <v>577</v>
      </c>
      <c r="E7" s="554" t="s">
        <v>447</v>
      </c>
      <c r="F7" s="554"/>
      <c r="G7" s="554"/>
      <c r="H7" s="240" t="s">
        <v>456</v>
      </c>
      <c r="I7" s="240" t="s">
        <v>466</v>
      </c>
      <c r="K7" s="233"/>
      <c r="L7" s="231"/>
      <c r="M7" s="231"/>
      <c r="N7" s="231"/>
      <c r="O7" s="231"/>
    </row>
    <row r="8" spans="1:15" x14ac:dyDescent="0.2">
      <c r="A8" s="241">
        <f>'1-Import Product Data Sheet'!A23</f>
        <v>0</v>
      </c>
      <c r="B8" s="241">
        <f>'1-Import Product Data Sheet'!B23</f>
        <v>0</v>
      </c>
      <c r="C8" s="321">
        <f>Mstr_Pk</f>
        <v>0</v>
      </c>
      <c r="D8" s="321">
        <f>Innr_Pk</f>
        <v>0</v>
      </c>
      <c r="E8" s="555">
        <f>'1-Import Product Data Sheet'!B16</f>
        <v>0</v>
      </c>
      <c r="F8" s="556"/>
      <c r="G8" s="557"/>
      <c r="H8" s="242">
        <f>FOBCostPerPiece</f>
        <v>0</v>
      </c>
      <c r="I8" s="242">
        <f>SUMPRODUCT(C14:C29,G14:G29)</f>
        <v>0</v>
      </c>
      <c r="J8" s="259" t="s">
        <v>465</v>
      </c>
      <c r="K8" s="233"/>
      <c r="L8" s="231"/>
      <c r="M8" s="231"/>
      <c r="N8" s="231"/>
      <c r="O8" s="231"/>
    </row>
    <row r="9" spans="1:15" x14ac:dyDescent="0.2">
      <c r="A9" s="231"/>
      <c r="B9" s="231"/>
      <c r="C9" s="233"/>
      <c r="D9" s="233"/>
      <c r="E9" s="231"/>
      <c r="F9" s="231"/>
      <c r="G9" s="231"/>
      <c r="H9" s="231"/>
      <c r="I9" s="231"/>
      <c r="J9" s="231"/>
      <c r="K9" s="233"/>
      <c r="L9" s="231"/>
      <c r="M9" s="231"/>
      <c r="N9" s="231"/>
      <c r="O9" s="231"/>
    </row>
    <row r="10" spans="1:15" x14ac:dyDescent="0.2">
      <c r="A10" s="231"/>
      <c r="B10" s="231"/>
      <c r="C10" s="233"/>
      <c r="D10" s="233"/>
      <c r="E10" s="231"/>
      <c r="F10" s="231"/>
      <c r="G10" s="231"/>
      <c r="H10" s="231"/>
      <c r="I10" s="231"/>
      <c r="J10" s="231"/>
      <c r="K10" s="233"/>
      <c r="L10" s="231"/>
      <c r="N10" s="231"/>
      <c r="O10" s="231"/>
    </row>
    <row r="11" spans="1:15" s="7" customFormat="1" x14ac:dyDescent="0.2">
      <c r="A11" s="6"/>
      <c r="B11" s="6"/>
      <c r="C11" s="6"/>
      <c r="D11" s="6"/>
      <c r="E11" s="6"/>
      <c r="F11" s="6"/>
      <c r="G11" s="6"/>
      <c r="H11" s="6"/>
      <c r="I11" s="6"/>
      <c r="J11" s="6"/>
      <c r="K11" s="6"/>
      <c r="L11" s="6"/>
      <c r="M11" s="6"/>
      <c r="N11" s="231"/>
      <c r="O11" s="231"/>
    </row>
    <row r="12" spans="1:15" x14ac:dyDescent="0.2">
      <c r="A12" s="549" t="s">
        <v>445</v>
      </c>
      <c r="B12" s="550"/>
      <c r="C12" s="550"/>
      <c r="D12" s="550"/>
      <c r="E12" s="550"/>
      <c r="F12" s="550"/>
      <c r="G12" s="550"/>
      <c r="H12" s="550"/>
      <c r="I12" s="550"/>
      <c r="J12" s="550"/>
      <c r="K12" s="550"/>
      <c r="L12" s="551"/>
      <c r="M12" s="233"/>
      <c r="N12" s="233"/>
      <c r="O12" s="231"/>
    </row>
    <row r="13" spans="1:15" ht="22.5" x14ac:dyDescent="0.2">
      <c r="A13" s="239" t="s">
        <v>464</v>
      </c>
      <c r="B13" s="239" t="s">
        <v>568</v>
      </c>
      <c r="C13" s="239" t="s">
        <v>450</v>
      </c>
      <c r="D13" s="239" t="s">
        <v>4</v>
      </c>
      <c r="E13" s="239" t="s">
        <v>44</v>
      </c>
      <c r="F13" s="239" t="s">
        <v>575</v>
      </c>
      <c r="G13" s="239" t="s">
        <v>582</v>
      </c>
      <c r="H13" s="239" t="s">
        <v>455</v>
      </c>
      <c r="I13" s="239" t="s">
        <v>452</v>
      </c>
      <c r="J13" s="239" t="s">
        <v>5</v>
      </c>
      <c r="K13" s="239" t="s">
        <v>32</v>
      </c>
      <c r="L13" s="239" t="s">
        <v>579</v>
      </c>
      <c r="M13" s="233"/>
    </row>
    <row r="14" spans="1:15" x14ac:dyDescent="0.2">
      <c r="A14" s="328"/>
      <c r="B14" s="325"/>
      <c r="C14" s="325"/>
      <c r="D14" s="325"/>
      <c r="E14" s="324"/>
      <c r="F14" s="324"/>
      <c r="G14" s="326"/>
      <c r="H14" s="327"/>
      <c r="I14" s="328"/>
      <c r="J14" s="329"/>
      <c r="K14" s="329"/>
      <c r="L14" s="327" t="str">
        <f>IF(C14="","",'1-Import Product Data Sheet'!$E$30/SUM($C$14:$C$118))</f>
        <v/>
      </c>
      <c r="M14" s="231"/>
    </row>
    <row r="15" spans="1:15" x14ac:dyDescent="0.2">
      <c r="A15" s="328"/>
      <c r="B15" s="325"/>
      <c r="C15" s="325"/>
      <c r="D15" s="325"/>
      <c r="E15" s="324"/>
      <c r="F15" s="324"/>
      <c r="G15" s="326"/>
      <c r="H15" s="327"/>
      <c r="I15" s="328"/>
      <c r="J15" s="329"/>
      <c r="K15" s="329"/>
      <c r="L15" s="327" t="str">
        <f>IF(C15="","",'1-Import Product Data Sheet'!$E$30/SUM($C$14:$C$118))</f>
        <v/>
      </c>
      <c r="M15" s="231"/>
    </row>
    <row r="16" spans="1:15" x14ac:dyDescent="0.2">
      <c r="A16" s="328"/>
      <c r="B16" s="325"/>
      <c r="C16" s="325"/>
      <c r="D16" s="325"/>
      <c r="E16" s="324"/>
      <c r="F16" s="324"/>
      <c r="G16" s="326"/>
      <c r="H16" s="327"/>
      <c r="I16" s="328"/>
      <c r="J16" s="329"/>
      <c r="K16" s="329"/>
      <c r="L16" s="327" t="str">
        <f>IF(C16="","",'1-Import Product Data Sheet'!$E$30/SUM($C$14:$C$118))</f>
        <v/>
      </c>
      <c r="M16" s="231"/>
    </row>
    <row r="17" spans="1:15" x14ac:dyDescent="0.2">
      <c r="A17" s="328"/>
      <c r="B17" s="325"/>
      <c r="C17" s="325"/>
      <c r="D17" s="325"/>
      <c r="E17" s="324"/>
      <c r="F17" s="324"/>
      <c r="G17" s="326"/>
      <c r="H17" s="327"/>
      <c r="I17" s="328"/>
      <c r="J17" s="329"/>
      <c r="K17" s="329"/>
      <c r="L17" s="327" t="str">
        <f>IF(C17="","",'1-Import Product Data Sheet'!$E$30/SUM($C$14:$C$118))</f>
        <v/>
      </c>
      <c r="M17" s="231"/>
    </row>
    <row r="18" spans="1:15" x14ac:dyDescent="0.2">
      <c r="A18" s="328"/>
      <c r="B18" s="325"/>
      <c r="C18" s="325"/>
      <c r="D18" s="325"/>
      <c r="E18" s="324"/>
      <c r="F18" s="324"/>
      <c r="G18" s="326"/>
      <c r="H18" s="327"/>
      <c r="I18" s="328"/>
      <c r="J18" s="329"/>
      <c r="K18" s="329"/>
      <c r="L18" s="327" t="str">
        <f>IF(C18="","",'1-Import Product Data Sheet'!$E$30/SUM($C$14:$C$118))</f>
        <v/>
      </c>
      <c r="M18" s="231"/>
    </row>
    <row r="19" spans="1:15" x14ac:dyDescent="0.2">
      <c r="A19" s="328"/>
      <c r="B19" s="325"/>
      <c r="C19" s="325"/>
      <c r="D19" s="325"/>
      <c r="E19" s="324"/>
      <c r="F19" s="324"/>
      <c r="G19" s="326"/>
      <c r="H19" s="327"/>
      <c r="I19" s="328"/>
      <c r="J19" s="329"/>
      <c r="K19" s="329"/>
      <c r="L19" s="327" t="str">
        <f>IF(C19="","",'1-Import Product Data Sheet'!$E$30/SUM($C$14:$C$118))</f>
        <v/>
      </c>
      <c r="M19" s="231"/>
    </row>
    <row r="20" spans="1:15" x14ac:dyDescent="0.2">
      <c r="A20" s="328"/>
      <c r="B20" s="325"/>
      <c r="C20" s="325"/>
      <c r="D20" s="325"/>
      <c r="E20" s="324"/>
      <c r="F20" s="324"/>
      <c r="G20" s="326"/>
      <c r="H20" s="327"/>
      <c r="I20" s="328"/>
      <c r="J20" s="329"/>
      <c r="K20" s="329"/>
      <c r="L20" s="327" t="str">
        <f>IF(C20="","",'1-Import Product Data Sheet'!$E$30/SUM($C$14:$C$118))</f>
        <v/>
      </c>
      <c r="M20" s="231"/>
    </row>
    <row r="21" spans="1:15" x14ac:dyDescent="0.2">
      <c r="A21" s="328"/>
      <c r="B21" s="325"/>
      <c r="C21" s="325"/>
      <c r="D21" s="325"/>
      <c r="E21" s="324"/>
      <c r="F21" s="324"/>
      <c r="G21" s="326"/>
      <c r="H21" s="327"/>
      <c r="I21" s="328"/>
      <c r="J21" s="329"/>
      <c r="K21" s="329"/>
      <c r="L21" s="327" t="str">
        <f>IF(C21="","",'1-Import Product Data Sheet'!$E$30/SUM($C$14:$C$118))</f>
        <v/>
      </c>
      <c r="M21" s="231"/>
    </row>
    <row r="22" spans="1:15" x14ac:dyDescent="0.2">
      <c r="A22" s="328"/>
      <c r="B22" s="325"/>
      <c r="C22" s="325"/>
      <c r="D22" s="325"/>
      <c r="E22" s="324"/>
      <c r="F22" s="324"/>
      <c r="G22" s="326"/>
      <c r="H22" s="327"/>
      <c r="I22" s="328"/>
      <c r="J22" s="329"/>
      <c r="K22" s="329"/>
      <c r="L22" s="327" t="str">
        <f>IF(C22="","",'1-Import Product Data Sheet'!$E$30/SUM($C$14:$C$118))</f>
        <v/>
      </c>
      <c r="M22" s="231"/>
    </row>
    <row r="23" spans="1:15" x14ac:dyDescent="0.2">
      <c r="A23" s="328"/>
      <c r="B23" s="325"/>
      <c r="C23" s="325"/>
      <c r="D23" s="325"/>
      <c r="E23" s="324"/>
      <c r="F23" s="324"/>
      <c r="G23" s="326"/>
      <c r="H23" s="327"/>
      <c r="I23" s="328"/>
      <c r="J23" s="329"/>
      <c r="K23" s="329"/>
      <c r="L23" s="327" t="str">
        <f>IF(C23="","",'1-Import Product Data Sheet'!$E$30/SUM($C$14:$C$118))</f>
        <v/>
      </c>
      <c r="M23" s="231"/>
    </row>
    <row r="24" spans="1:15" x14ac:dyDescent="0.2">
      <c r="A24" s="328"/>
      <c r="B24" s="325"/>
      <c r="C24" s="325"/>
      <c r="D24" s="325"/>
      <c r="E24" s="324"/>
      <c r="F24" s="324"/>
      <c r="G24" s="326"/>
      <c r="H24" s="327"/>
      <c r="I24" s="328"/>
      <c r="J24" s="329"/>
      <c r="K24" s="329"/>
      <c r="L24" s="327" t="str">
        <f>IF(C24="","",'1-Import Product Data Sheet'!$E$30/SUM($C$14:$C$118))</f>
        <v/>
      </c>
      <c r="M24" s="231"/>
    </row>
    <row r="25" spans="1:15" x14ac:dyDescent="0.2">
      <c r="A25" s="328"/>
      <c r="B25" s="325"/>
      <c r="C25" s="325"/>
      <c r="D25" s="325"/>
      <c r="E25" s="324"/>
      <c r="F25" s="324"/>
      <c r="G25" s="326"/>
      <c r="H25" s="327"/>
      <c r="I25" s="328"/>
      <c r="J25" s="329"/>
      <c r="K25" s="329"/>
      <c r="L25" s="327" t="str">
        <f>IF(C25="","",'1-Import Product Data Sheet'!$E$30/SUM($C$14:$C$118))</f>
        <v/>
      </c>
      <c r="M25" s="231"/>
    </row>
    <row r="26" spans="1:15" x14ac:dyDescent="0.2">
      <c r="A26" s="328"/>
      <c r="B26" s="325"/>
      <c r="C26" s="325"/>
      <c r="D26" s="325"/>
      <c r="E26" s="324"/>
      <c r="F26" s="324"/>
      <c r="G26" s="326"/>
      <c r="H26" s="327"/>
      <c r="I26" s="328"/>
      <c r="J26" s="329"/>
      <c r="K26" s="329"/>
      <c r="L26" s="327" t="str">
        <f>IF(C26="","",'1-Import Product Data Sheet'!$E$30/SUM($C$14:$C$118))</f>
        <v/>
      </c>
      <c r="M26" s="231"/>
    </row>
    <row r="27" spans="1:15" x14ac:dyDescent="0.2">
      <c r="A27" s="328"/>
      <c r="B27" s="325"/>
      <c r="C27" s="325"/>
      <c r="D27" s="325"/>
      <c r="E27" s="324"/>
      <c r="F27" s="324"/>
      <c r="G27" s="326"/>
      <c r="H27" s="327"/>
      <c r="I27" s="328"/>
      <c r="J27" s="329"/>
      <c r="K27" s="329"/>
      <c r="L27" s="327" t="str">
        <f>IF(C27="","",'1-Import Product Data Sheet'!$E$30/SUM($C$14:$C$118))</f>
        <v/>
      </c>
      <c r="M27" s="231"/>
    </row>
    <row r="28" spans="1:15" x14ac:dyDescent="0.2">
      <c r="A28" s="328"/>
      <c r="B28" s="325"/>
      <c r="C28" s="325"/>
      <c r="D28" s="325"/>
      <c r="E28" s="324"/>
      <c r="F28" s="324"/>
      <c r="G28" s="326"/>
      <c r="H28" s="327"/>
      <c r="I28" s="328"/>
      <c r="J28" s="329"/>
      <c r="K28" s="329"/>
      <c r="L28" s="327" t="str">
        <f>IF(C28="","",'1-Import Product Data Sheet'!$E$30/SUM($C$14:$C$118))</f>
        <v/>
      </c>
      <c r="M28" s="231"/>
    </row>
    <row r="29" spans="1:15" x14ac:dyDescent="0.2">
      <c r="H29" s="552" t="s">
        <v>23</v>
      </c>
      <c r="I29" s="544"/>
      <c r="J29" s="544"/>
      <c r="K29" s="544"/>
      <c r="L29" s="544"/>
      <c r="M29" s="231"/>
    </row>
    <row r="30" spans="1:15" x14ac:dyDescent="0.2">
      <c r="N30" s="231"/>
      <c r="O30" s="231"/>
    </row>
    <row r="31" spans="1:15" x14ac:dyDescent="0.2">
      <c r="N31" s="231"/>
      <c r="O31" s="231"/>
    </row>
    <row r="32" spans="1:15" x14ac:dyDescent="0.2">
      <c r="N32" s="231"/>
      <c r="O32" s="231"/>
    </row>
    <row r="33" spans="14:15" x14ac:dyDescent="0.2">
      <c r="N33" s="231"/>
      <c r="O33" s="231"/>
    </row>
  </sheetData>
  <mergeCells count="7">
    <mergeCell ref="A12:L12"/>
    <mergeCell ref="H29:L29"/>
    <mergeCell ref="A1:M1"/>
    <mergeCell ref="E7:G7"/>
    <mergeCell ref="E8:G8"/>
    <mergeCell ref="A6:I6"/>
    <mergeCell ref="A2:N2"/>
  </mergeCells>
  <conditionalFormatting sqref="I8">
    <cfRule type="cellIs" dxfId="0" priority="1" operator="notEqual">
      <formula>$H$8</formula>
    </cfRule>
  </conditionalFormatting>
  <pageMargins left="0.75" right="0.75" top="1" bottom="1" header="0.5" footer="0.5"/>
  <pageSetup scale="80" orientation="landscape"/>
  <headerFooter alignWithMargins="0">
    <oddHeader>&amp;C&amp;F
&amp;R&amp;D</oddHeader>
    <oddFooter>&amp;C&amp;A&amp;R&amp;P of &amp;N</oddFooter>
  </headerFooter>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95"/>
  <sheetViews>
    <sheetView showGridLines="0" zoomScaleSheetLayoutView="100" workbookViewId="0">
      <selection sqref="A1:C1"/>
    </sheetView>
  </sheetViews>
  <sheetFormatPr defaultColWidth="9.140625" defaultRowHeight="12.75" x14ac:dyDescent="0.2"/>
  <cols>
    <col min="1" max="1" width="16.5703125" style="259" customWidth="1"/>
    <col min="2" max="2" width="46.28515625" style="353" customWidth="1"/>
    <col min="3" max="3" width="63.5703125" customWidth="1"/>
    <col min="5" max="5" width="24.140625" style="344" hidden="1" customWidth="1"/>
    <col min="6" max="6" width="9.140625" style="344" hidden="1" customWidth="1"/>
    <col min="7" max="7" width="12.42578125" style="344" hidden="1" customWidth="1"/>
    <col min="8" max="8" width="9.140625" style="344" hidden="1" customWidth="1"/>
    <col min="9" max="9" width="23" style="344" hidden="1" customWidth="1"/>
    <col min="10" max="10" width="9.140625" style="344" hidden="1" customWidth="1"/>
    <col min="11" max="11" width="22.5703125" style="344" hidden="1" customWidth="1"/>
    <col min="12" max="13" width="12.140625" style="344" hidden="1" customWidth="1"/>
    <col min="14" max="14" width="14.140625" style="344" hidden="1" customWidth="1"/>
    <col min="15" max="15" width="61" style="344" hidden="1" customWidth="1"/>
    <col min="16" max="16" width="0" hidden="1" customWidth="1"/>
  </cols>
  <sheetData>
    <row r="1" spans="1:3" ht="20.25" customHeight="1" thickBot="1" x14ac:dyDescent="0.25">
      <c r="A1" s="546" t="s">
        <v>468</v>
      </c>
      <c r="B1" s="547"/>
      <c r="C1" s="548"/>
    </row>
    <row r="2" spans="1:3" ht="57" customHeight="1" x14ac:dyDescent="0.2">
      <c r="A2" s="559" t="s">
        <v>974</v>
      </c>
      <c r="B2" s="560"/>
      <c r="C2" s="561"/>
    </row>
    <row r="3" spans="1:3" ht="120" customHeight="1" x14ac:dyDescent="0.2">
      <c r="A3" s="367"/>
      <c r="B3" s="368"/>
      <c r="C3" s="369"/>
    </row>
    <row r="4" spans="1:3" ht="13.5" thickBot="1" x14ac:dyDescent="0.25"/>
    <row r="5" spans="1:3" ht="20.25" customHeight="1" thickBot="1" x14ac:dyDescent="0.25">
      <c r="A5" s="546" t="s">
        <v>997</v>
      </c>
      <c r="B5" s="547"/>
      <c r="C5" s="548"/>
    </row>
    <row r="6" spans="1:3" ht="20.25" customHeight="1" x14ac:dyDescent="0.2">
      <c r="A6" s="16" t="s">
        <v>1004</v>
      </c>
      <c r="B6" s="16"/>
    </row>
    <row r="7" spans="1:3" ht="20.25" customHeight="1" x14ac:dyDescent="0.2">
      <c r="A7" s="16"/>
      <c r="B7" s="16"/>
    </row>
    <row r="8" spans="1:3" x14ac:dyDescent="0.2">
      <c r="A8" s="350" t="s">
        <v>750</v>
      </c>
      <c r="B8" s="354" t="s">
        <v>1003</v>
      </c>
    </row>
    <row r="10" spans="1:3" x14ac:dyDescent="0.2">
      <c r="A10" s="351" t="s">
        <v>751</v>
      </c>
      <c r="B10" s="355"/>
    </row>
    <row r="11" spans="1:3" x14ac:dyDescent="0.2">
      <c r="A11" s="349" t="s">
        <v>752</v>
      </c>
      <c r="B11" s="349" t="s">
        <v>1005</v>
      </c>
    </row>
    <row r="12" spans="1:3" x14ac:dyDescent="0.2">
      <c r="A12" s="349" t="s">
        <v>753</v>
      </c>
      <c r="B12" s="349" t="s">
        <v>1005</v>
      </c>
    </row>
    <row r="13" spans="1:3" x14ac:dyDescent="0.2">
      <c r="A13" s="349" t="s">
        <v>754</v>
      </c>
      <c r="B13" s="349" t="s">
        <v>1005</v>
      </c>
    </row>
    <row r="14" spans="1:3" x14ac:dyDescent="0.2">
      <c r="A14" s="349" t="s">
        <v>755</v>
      </c>
      <c r="B14" s="349" t="s">
        <v>1005</v>
      </c>
    </row>
    <row r="15" spans="1:3" x14ac:dyDescent="0.2">
      <c r="A15" s="349" t="s">
        <v>756</v>
      </c>
      <c r="B15" s="349" t="s">
        <v>1005</v>
      </c>
    </row>
    <row r="16" spans="1:3" x14ac:dyDescent="0.2">
      <c r="A16" s="349" t="s">
        <v>757</v>
      </c>
      <c r="B16" s="349" t="s">
        <v>1005</v>
      </c>
    </row>
    <row r="17" spans="1:15" x14ac:dyDescent="0.2">
      <c r="A17" s="349" t="s">
        <v>758</v>
      </c>
      <c r="B17" s="349" t="s">
        <v>1005</v>
      </c>
    </row>
    <row r="18" spans="1:15" ht="22.5" x14ac:dyDescent="0.2">
      <c r="A18" s="352" t="s">
        <v>759</v>
      </c>
      <c r="B18" s="349"/>
    </row>
    <row r="23" spans="1:15" x14ac:dyDescent="0.2">
      <c r="E23" s="346" t="s">
        <v>746</v>
      </c>
      <c r="G23" s="346" t="s">
        <v>747</v>
      </c>
      <c r="H23" s="346" t="s">
        <v>748</v>
      </c>
      <c r="I23" s="346" t="s">
        <v>711</v>
      </c>
      <c r="K23" s="346" t="s">
        <v>749</v>
      </c>
      <c r="L23" s="346" t="s">
        <v>748</v>
      </c>
      <c r="M23" s="346" t="s">
        <v>747</v>
      </c>
      <c r="N23" s="346" t="s">
        <v>710</v>
      </c>
      <c r="O23" s="346" t="s">
        <v>711</v>
      </c>
    </row>
    <row r="24" spans="1:15" x14ac:dyDescent="0.2">
      <c r="E24" s="345" t="s">
        <v>1003</v>
      </c>
      <c r="G24" s="345" t="str">
        <f t="shared" ref="G24:G55" si="0">$B$8</f>
        <v>NONE:</v>
      </c>
      <c r="H24" s="345">
        <v>1</v>
      </c>
      <c r="I24" s="345" t="str">
        <f>IFERROR(VLOOKUP(G24&amp;H24,$K:$O,5,FALSE),"")</f>
        <v/>
      </c>
      <c r="K24" s="366" t="str">
        <f t="shared" ref="K24:K30" si="1">M24&amp;L24</f>
        <v>Food1</v>
      </c>
      <c r="L24" s="366">
        <v>1</v>
      </c>
      <c r="M24" s="366" t="s">
        <v>364</v>
      </c>
      <c r="N24" s="365">
        <v>1</v>
      </c>
      <c r="O24" s="366" t="s">
        <v>1005</v>
      </c>
    </row>
    <row r="25" spans="1:15" x14ac:dyDescent="0.2">
      <c r="E25" s="345" t="s">
        <v>364</v>
      </c>
      <c r="G25" s="345" t="str">
        <f t="shared" si="0"/>
        <v>NONE:</v>
      </c>
      <c r="H25" s="345">
        <v>2</v>
      </c>
      <c r="I25" s="345" t="str">
        <f>IFERROR(VLOOKUP(G25&amp;H25,$K:$O,5,FALSE),"")</f>
        <v/>
      </c>
      <c r="K25" s="347" t="str">
        <f t="shared" si="1"/>
        <v>Food2</v>
      </c>
      <c r="L25" s="347">
        <v>2</v>
      </c>
      <c r="M25" s="347" t="s">
        <v>364</v>
      </c>
      <c r="N25" s="348">
        <v>1</v>
      </c>
      <c r="O25" s="347" t="s">
        <v>727</v>
      </c>
    </row>
    <row r="26" spans="1:15" x14ac:dyDescent="0.2">
      <c r="E26" s="345" t="s">
        <v>741</v>
      </c>
      <c r="G26" s="345" t="str">
        <f t="shared" si="0"/>
        <v>NONE:</v>
      </c>
      <c r="H26" s="345">
        <v>3</v>
      </c>
      <c r="I26" s="345" t="str">
        <f>IFERROR(VLOOKUP(G26&amp;H26,$K:$O,5,FALSE),"")</f>
        <v/>
      </c>
      <c r="K26" s="347" t="str">
        <f t="shared" si="1"/>
        <v>Food3</v>
      </c>
      <c r="L26" s="347">
        <v>3</v>
      </c>
      <c r="M26" s="347" t="s">
        <v>364</v>
      </c>
      <c r="N26" s="348">
        <v>1</v>
      </c>
      <c r="O26" s="347" t="s">
        <v>712</v>
      </c>
    </row>
    <row r="27" spans="1:15" x14ac:dyDescent="0.2">
      <c r="E27" s="345" t="s">
        <v>742</v>
      </c>
      <c r="G27" s="345" t="str">
        <f t="shared" si="0"/>
        <v>NONE:</v>
      </c>
      <c r="H27" s="345">
        <v>4</v>
      </c>
      <c r="I27" s="345" t="str">
        <f>IFERROR(VLOOKUP(G27&amp;H27,$K:$O,5,FALSE),"")</f>
        <v/>
      </c>
      <c r="K27" s="347" t="str">
        <f t="shared" si="1"/>
        <v>Food4</v>
      </c>
      <c r="L27" s="347">
        <v>4</v>
      </c>
      <c r="M27" s="347" t="s">
        <v>364</v>
      </c>
      <c r="N27" s="348">
        <v>1</v>
      </c>
      <c r="O27" s="347" t="s">
        <v>713</v>
      </c>
    </row>
    <row r="28" spans="1:15" x14ac:dyDescent="0.2">
      <c r="E28" s="345" t="s">
        <v>743</v>
      </c>
      <c r="G28" s="345" t="str">
        <f t="shared" si="0"/>
        <v>NONE:</v>
      </c>
      <c r="H28" s="345">
        <v>5</v>
      </c>
      <c r="I28" s="345" t="str">
        <f>IFERROR(VLOOKUP(G28&amp;H28,$K:$O,5,FALSE),"")</f>
        <v/>
      </c>
      <c r="K28" s="347" t="str">
        <f t="shared" si="1"/>
        <v>Food5</v>
      </c>
      <c r="L28" s="347">
        <v>5</v>
      </c>
      <c r="M28" s="347" t="s">
        <v>364</v>
      </c>
      <c r="N28" s="348">
        <v>1</v>
      </c>
      <c r="O28" s="347" t="s">
        <v>714</v>
      </c>
    </row>
    <row r="29" spans="1:15" x14ac:dyDescent="0.2">
      <c r="E29" s="345" t="s">
        <v>744</v>
      </c>
      <c r="G29" s="345" t="str">
        <f t="shared" si="0"/>
        <v>NONE:</v>
      </c>
      <c r="H29" s="345">
        <v>6</v>
      </c>
      <c r="I29" s="345" t="str">
        <f>IFERROR(VLOOKUP(G29&amp;H29,$K:$O,5,FALSE),"")</f>
        <v/>
      </c>
      <c r="K29" s="347" t="str">
        <f t="shared" si="1"/>
        <v>Food6</v>
      </c>
      <c r="L29" s="347">
        <v>6</v>
      </c>
      <c r="M29" s="347" t="s">
        <v>364</v>
      </c>
      <c r="N29" s="348">
        <v>1</v>
      </c>
      <c r="O29" s="347" t="s">
        <v>715</v>
      </c>
    </row>
    <row r="30" spans="1:15" x14ac:dyDescent="0.2">
      <c r="E30" s="345" t="s">
        <v>960</v>
      </c>
      <c r="G30" s="345" t="str">
        <f t="shared" si="0"/>
        <v>NONE:</v>
      </c>
      <c r="H30" s="345">
        <v>7</v>
      </c>
      <c r="I30" s="345" t="str">
        <f>IFERROR(VLOOKUP(G30&amp;H30,$K:$O,5,FALSE),"")</f>
        <v/>
      </c>
      <c r="K30" s="347" t="str">
        <f t="shared" si="1"/>
        <v>Food7</v>
      </c>
      <c r="L30" s="347">
        <v>7</v>
      </c>
      <c r="M30" s="347" t="s">
        <v>364</v>
      </c>
      <c r="N30" s="348">
        <v>1</v>
      </c>
      <c r="O30" s="347" t="s">
        <v>716</v>
      </c>
    </row>
    <row r="31" spans="1:15" x14ac:dyDescent="0.2">
      <c r="E31" s="345" t="s">
        <v>745</v>
      </c>
      <c r="G31" s="345" t="str">
        <f t="shared" si="0"/>
        <v>NONE:</v>
      </c>
      <c r="H31" s="345">
        <v>8</v>
      </c>
      <c r="I31" s="345" t="str">
        <f>IFERROR(VLOOKUP(G31&amp;H31,$K:$O,5,FALSE),"")</f>
        <v/>
      </c>
      <c r="K31" s="347" t="str">
        <f t="shared" ref="K31:K95" si="2">M31&amp;L31</f>
        <v>Food8</v>
      </c>
      <c r="L31" s="347">
        <v>8</v>
      </c>
      <c r="M31" s="347" t="s">
        <v>364</v>
      </c>
      <c r="N31" s="348">
        <v>1</v>
      </c>
      <c r="O31" s="347" t="s">
        <v>717</v>
      </c>
    </row>
    <row r="32" spans="1:15" x14ac:dyDescent="0.2">
      <c r="G32" s="345" t="str">
        <f t="shared" si="0"/>
        <v>NONE:</v>
      </c>
      <c r="H32" s="345">
        <v>9</v>
      </c>
      <c r="I32" s="345" t="str">
        <f>IFERROR(VLOOKUP(G32&amp;H32,$K:$O,5,FALSE),"")</f>
        <v/>
      </c>
      <c r="K32" s="347" t="str">
        <f t="shared" si="2"/>
        <v>Food9</v>
      </c>
      <c r="L32" s="347">
        <v>9</v>
      </c>
      <c r="M32" s="347" t="s">
        <v>364</v>
      </c>
      <c r="N32" s="348">
        <v>1</v>
      </c>
      <c r="O32" s="347" t="s">
        <v>718</v>
      </c>
    </row>
    <row r="33" spans="7:15" x14ac:dyDescent="0.2">
      <c r="G33" s="345" t="str">
        <f t="shared" si="0"/>
        <v>NONE:</v>
      </c>
      <c r="H33" s="345">
        <v>10</v>
      </c>
      <c r="I33" s="345" t="str">
        <f>IFERROR(VLOOKUP(G33&amp;H33,$K:$O,5,FALSE),"")</f>
        <v/>
      </c>
      <c r="K33" s="347" t="str">
        <f t="shared" si="2"/>
        <v>Food10</v>
      </c>
      <c r="L33" s="347">
        <v>10</v>
      </c>
      <c r="M33" s="347" t="s">
        <v>364</v>
      </c>
      <c r="N33" s="348">
        <v>1</v>
      </c>
      <c r="O33" s="347" t="s">
        <v>719</v>
      </c>
    </row>
    <row r="34" spans="7:15" x14ac:dyDescent="0.2">
      <c r="G34" s="345" t="str">
        <f t="shared" si="0"/>
        <v>NONE:</v>
      </c>
      <c r="H34" s="345">
        <v>11</v>
      </c>
      <c r="I34" s="345" t="str">
        <f>IFERROR(VLOOKUP(G34&amp;H34,$K:$O,5,FALSE),"")</f>
        <v/>
      </c>
      <c r="K34" s="347" t="str">
        <f t="shared" si="2"/>
        <v>Food11</v>
      </c>
      <c r="L34" s="347">
        <v>11</v>
      </c>
      <c r="M34" s="347" t="s">
        <v>364</v>
      </c>
      <c r="N34" s="348">
        <v>1</v>
      </c>
      <c r="O34" s="347" t="s">
        <v>720</v>
      </c>
    </row>
    <row r="35" spans="7:15" x14ac:dyDescent="0.2">
      <c r="G35" s="345" t="str">
        <f t="shared" si="0"/>
        <v>NONE:</v>
      </c>
      <c r="H35" s="345">
        <v>12</v>
      </c>
      <c r="I35" s="345" t="str">
        <f>IFERROR(VLOOKUP(G35&amp;H35,$K:$O,5,FALSE),"")</f>
        <v/>
      </c>
      <c r="K35" s="347" t="str">
        <f t="shared" si="2"/>
        <v>Food12</v>
      </c>
      <c r="L35" s="347">
        <v>12</v>
      </c>
      <c r="M35" s="347" t="s">
        <v>364</v>
      </c>
      <c r="N35" s="348">
        <v>1</v>
      </c>
      <c r="O35" s="347" t="s">
        <v>721</v>
      </c>
    </row>
    <row r="36" spans="7:15" x14ac:dyDescent="0.2">
      <c r="G36" s="345" t="str">
        <f t="shared" si="0"/>
        <v>NONE:</v>
      </c>
      <c r="H36" s="345">
        <v>13</v>
      </c>
      <c r="I36" s="345" t="str">
        <f>IFERROR(VLOOKUP(G36&amp;H36,$K:$O,5,FALSE),"")</f>
        <v/>
      </c>
      <c r="K36" s="347" t="str">
        <f t="shared" si="2"/>
        <v>Food13</v>
      </c>
      <c r="L36" s="347">
        <v>13</v>
      </c>
      <c r="M36" s="347" t="s">
        <v>364</v>
      </c>
      <c r="N36" s="348">
        <v>1</v>
      </c>
      <c r="O36" s="347" t="s">
        <v>722</v>
      </c>
    </row>
    <row r="37" spans="7:15" x14ac:dyDescent="0.2">
      <c r="G37" s="345" t="str">
        <f t="shared" si="0"/>
        <v>NONE:</v>
      </c>
      <c r="H37" s="345">
        <v>14</v>
      </c>
      <c r="I37" s="345" t="str">
        <f>IFERROR(VLOOKUP(G37&amp;H37,$K:$O,5,FALSE),"")</f>
        <v/>
      </c>
      <c r="K37" s="347" t="str">
        <f t="shared" si="2"/>
        <v>Food14</v>
      </c>
      <c r="L37" s="347">
        <v>14</v>
      </c>
      <c r="M37" s="347" t="s">
        <v>364</v>
      </c>
      <c r="N37" s="348">
        <v>1</v>
      </c>
      <c r="O37" s="347" t="s">
        <v>723</v>
      </c>
    </row>
    <row r="38" spans="7:15" x14ac:dyDescent="0.2">
      <c r="G38" s="345" t="str">
        <f t="shared" si="0"/>
        <v>NONE:</v>
      </c>
      <c r="H38" s="345">
        <v>15</v>
      </c>
      <c r="I38" s="345" t="str">
        <f>IFERROR(VLOOKUP(G38&amp;H38,$K:$O,5,FALSE),"")</f>
        <v/>
      </c>
      <c r="K38" s="347" t="str">
        <f t="shared" si="2"/>
        <v>Food15</v>
      </c>
      <c r="L38" s="347">
        <v>15</v>
      </c>
      <c r="M38" s="347" t="s">
        <v>364</v>
      </c>
      <c r="N38" s="348">
        <v>1</v>
      </c>
      <c r="O38" s="347" t="s">
        <v>724</v>
      </c>
    </row>
    <row r="39" spans="7:15" x14ac:dyDescent="0.2">
      <c r="G39" s="345" t="str">
        <f t="shared" si="0"/>
        <v>NONE:</v>
      </c>
      <c r="H39" s="345">
        <v>16</v>
      </c>
      <c r="I39" s="345" t="str">
        <f>IFERROR(VLOOKUP(G39&amp;H39,$K:$O,5,FALSE),"")</f>
        <v/>
      </c>
      <c r="K39" s="347" t="str">
        <f t="shared" si="2"/>
        <v>Food16</v>
      </c>
      <c r="L39" s="347">
        <v>16</v>
      </c>
      <c r="M39" s="347" t="s">
        <v>364</v>
      </c>
      <c r="N39" s="348">
        <v>1</v>
      </c>
      <c r="O39" s="347" t="s">
        <v>725</v>
      </c>
    </row>
    <row r="40" spans="7:15" x14ac:dyDescent="0.2">
      <c r="G40" s="345" t="str">
        <f t="shared" si="0"/>
        <v>NONE:</v>
      </c>
      <c r="H40" s="345">
        <v>17</v>
      </c>
      <c r="I40" s="345" t="str">
        <f>IFERROR(VLOOKUP(G40&amp;H40,$K:$O,5,FALSE),"")</f>
        <v/>
      </c>
      <c r="K40" s="347" t="str">
        <f t="shared" si="2"/>
        <v>Food17</v>
      </c>
      <c r="L40" s="347">
        <v>17</v>
      </c>
      <c r="M40" s="347" t="s">
        <v>364</v>
      </c>
      <c r="N40" s="348">
        <v>1</v>
      </c>
      <c r="O40" s="347" t="s">
        <v>726</v>
      </c>
    </row>
    <row r="41" spans="7:15" x14ac:dyDescent="0.2">
      <c r="G41" s="345" t="str">
        <f t="shared" si="0"/>
        <v>NONE:</v>
      </c>
      <c r="H41" s="345">
        <v>18</v>
      </c>
      <c r="I41" s="345" t="str">
        <f>IFERROR(VLOOKUP(G41&amp;H41,$K:$O,5,FALSE),"")</f>
        <v/>
      </c>
      <c r="K41" s="347" t="str">
        <f t="shared" si="2"/>
        <v>Food18</v>
      </c>
      <c r="L41" s="347">
        <v>18</v>
      </c>
      <c r="M41" s="347" t="s">
        <v>364</v>
      </c>
      <c r="N41" s="348">
        <v>1</v>
      </c>
      <c r="O41" s="347" t="s">
        <v>728</v>
      </c>
    </row>
    <row r="42" spans="7:15" x14ac:dyDescent="0.2">
      <c r="G42" s="345" t="str">
        <f t="shared" si="0"/>
        <v>NONE:</v>
      </c>
      <c r="H42" s="345">
        <v>19</v>
      </c>
      <c r="I42" s="345" t="str">
        <f>IFERROR(VLOOKUP(G42&amp;H42,$K:$O,5,FALSE),"")</f>
        <v/>
      </c>
      <c r="K42" s="347" t="str">
        <f t="shared" si="2"/>
        <v>Food19</v>
      </c>
      <c r="L42" s="347">
        <v>19</v>
      </c>
      <c r="M42" s="347" t="s">
        <v>364</v>
      </c>
      <c r="N42" s="348">
        <v>1</v>
      </c>
      <c r="O42" s="347" t="s">
        <v>729</v>
      </c>
    </row>
    <row r="43" spans="7:15" x14ac:dyDescent="0.2">
      <c r="G43" s="345" t="str">
        <f t="shared" si="0"/>
        <v>NONE:</v>
      </c>
      <c r="H43" s="345">
        <v>20</v>
      </c>
      <c r="I43" s="345" t="str">
        <f>IFERROR(VLOOKUP(G43&amp;H43,$K:$O,5,FALSE),"")</f>
        <v/>
      </c>
      <c r="K43" s="347" t="str">
        <f t="shared" si="2"/>
        <v>Food20</v>
      </c>
      <c r="L43" s="347">
        <v>20</v>
      </c>
      <c r="M43" s="347" t="s">
        <v>364</v>
      </c>
      <c r="N43" s="348">
        <v>1</v>
      </c>
      <c r="O43" s="347" t="s">
        <v>730</v>
      </c>
    </row>
    <row r="44" spans="7:15" x14ac:dyDescent="0.2">
      <c r="G44" s="345" t="str">
        <f t="shared" si="0"/>
        <v>NONE:</v>
      </c>
      <c r="H44" s="345">
        <v>21</v>
      </c>
      <c r="I44" s="345" t="str">
        <f>IFERROR(VLOOKUP(G44&amp;H44,$K:$O,5,FALSE),"")</f>
        <v/>
      </c>
      <c r="K44" s="347" t="str">
        <f t="shared" si="2"/>
        <v>Food21</v>
      </c>
      <c r="L44" s="347">
        <v>21</v>
      </c>
      <c r="M44" s="347" t="s">
        <v>364</v>
      </c>
      <c r="N44" s="348">
        <v>1</v>
      </c>
      <c r="O44" s="347" t="s">
        <v>731</v>
      </c>
    </row>
    <row r="45" spans="7:15" x14ac:dyDescent="0.2">
      <c r="G45" s="345" t="str">
        <f t="shared" si="0"/>
        <v>NONE:</v>
      </c>
      <c r="H45" s="345">
        <v>22</v>
      </c>
      <c r="I45" s="345" t="str">
        <f>IFERROR(VLOOKUP(G45&amp;H45,$K:$O,5,FALSE),"")</f>
        <v/>
      </c>
      <c r="K45" s="347" t="str">
        <f t="shared" si="2"/>
        <v>Food22</v>
      </c>
      <c r="L45" s="347">
        <v>22</v>
      </c>
      <c r="M45" s="347" t="s">
        <v>364</v>
      </c>
      <c r="N45" s="348">
        <v>1</v>
      </c>
      <c r="O45" s="347" t="s">
        <v>732</v>
      </c>
    </row>
    <row r="46" spans="7:15" x14ac:dyDescent="0.2">
      <c r="G46" s="345" t="str">
        <f t="shared" si="0"/>
        <v>NONE:</v>
      </c>
      <c r="H46" s="345">
        <v>23</v>
      </c>
      <c r="I46" s="345" t="str">
        <f>IFERROR(VLOOKUP(G46&amp;H46,$K:$O,5,FALSE),"")</f>
        <v/>
      </c>
      <c r="K46" s="347" t="str">
        <f t="shared" si="2"/>
        <v>Food23</v>
      </c>
      <c r="L46" s="347">
        <v>23</v>
      </c>
      <c r="M46" s="347" t="s">
        <v>364</v>
      </c>
      <c r="N46" s="348">
        <v>1</v>
      </c>
      <c r="O46" s="347" t="s">
        <v>733</v>
      </c>
    </row>
    <row r="47" spans="7:15" x14ac:dyDescent="0.2">
      <c r="G47" s="345" t="str">
        <f t="shared" si="0"/>
        <v>NONE:</v>
      </c>
      <c r="H47" s="345">
        <v>24</v>
      </c>
      <c r="I47" s="345" t="str">
        <f>IFERROR(VLOOKUP(G47&amp;H47,$K:$O,5,FALSE),"")</f>
        <v/>
      </c>
      <c r="K47" s="347" t="str">
        <f t="shared" si="2"/>
        <v>Food24</v>
      </c>
      <c r="L47" s="347">
        <v>24</v>
      </c>
      <c r="M47" s="347" t="s">
        <v>364</v>
      </c>
      <c r="N47" s="348">
        <v>1</v>
      </c>
      <c r="O47" s="347" t="s">
        <v>734</v>
      </c>
    </row>
    <row r="48" spans="7:15" x14ac:dyDescent="0.2">
      <c r="G48" s="345" t="str">
        <f t="shared" si="0"/>
        <v>NONE:</v>
      </c>
      <c r="H48" s="345">
        <v>25</v>
      </c>
      <c r="I48" s="345" t="str">
        <f>IFERROR(VLOOKUP(G48&amp;H48,$K:$O,5,FALSE),"")</f>
        <v/>
      </c>
      <c r="K48" s="347" t="str">
        <f t="shared" si="2"/>
        <v>Food25</v>
      </c>
      <c r="L48" s="347">
        <v>25</v>
      </c>
      <c r="M48" s="347" t="s">
        <v>364</v>
      </c>
      <c r="N48" s="348">
        <v>1</v>
      </c>
      <c r="O48" s="347" t="s">
        <v>735</v>
      </c>
    </row>
    <row r="49" spans="7:15" x14ac:dyDescent="0.2">
      <c r="G49" s="345" t="str">
        <f t="shared" si="0"/>
        <v>NONE:</v>
      </c>
      <c r="H49" s="345">
        <v>26</v>
      </c>
      <c r="I49" s="345" t="str">
        <f>IFERROR(VLOOKUP(G49&amp;H49,$K:$O,5,FALSE),"")</f>
        <v/>
      </c>
      <c r="K49" s="347" t="str">
        <f t="shared" si="2"/>
        <v>Food26</v>
      </c>
      <c r="L49" s="347">
        <v>26</v>
      </c>
      <c r="M49" s="347" t="s">
        <v>364</v>
      </c>
      <c r="N49" s="348">
        <v>1</v>
      </c>
      <c r="O49" s="347" t="s">
        <v>736</v>
      </c>
    </row>
    <row r="50" spans="7:15" x14ac:dyDescent="0.2">
      <c r="G50" s="345" t="str">
        <f t="shared" si="0"/>
        <v>NONE:</v>
      </c>
      <c r="H50" s="345">
        <v>27</v>
      </c>
      <c r="I50" s="345" t="str">
        <f>IFERROR(VLOOKUP(G50&amp;H50,$K:$O,5,FALSE),"")</f>
        <v/>
      </c>
      <c r="K50" s="347" t="str">
        <f t="shared" si="2"/>
        <v>Food27</v>
      </c>
      <c r="L50" s="347">
        <v>27</v>
      </c>
      <c r="M50" s="347" t="s">
        <v>364</v>
      </c>
      <c r="N50" s="348">
        <v>1</v>
      </c>
      <c r="O50" s="347" t="s">
        <v>737</v>
      </c>
    </row>
    <row r="51" spans="7:15" x14ac:dyDescent="0.2">
      <c r="G51" s="345" t="str">
        <f t="shared" si="0"/>
        <v>NONE:</v>
      </c>
      <c r="H51" s="345">
        <v>28</v>
      </c>
      <c r="I51" s="345" t="str">
        <f>IFERROR(VLOOKUP(G51&amp;H51,$K:$O,5,FALSE),"")</f>
        <v/>
      </c>
      <c r="K51" s="347" t="str">
        <f t="shared" si="2"/>
        <v>Food28</v>
      </c>
      <c r="L51" s="347">
        <v>28</v>
      </c>
      <c r="M51" s="347" t="s">
        <v>364</v>
      </c>
      <c r="N51" s="348">
        <v>1</v>
      </c>
      <c r="O51" s="347" t="s">
        <v>738</v>
      </c>
    </row>
    <row r="52" spans="7:15" x14ac:dyDescent="0.2">
      <c r="G52" s="345" t="str">
        <f t="shared" si="0"/>
        <v>NONE:</v>
      </c>
      <c r="H52" s="345">
        <v>29</v>
      </c>
      <c r="I52" s="345" t="str">
        <f>IFERROR(VLOOKUP(G52&amp;H52,$K:$O,5,FALSE),"")</f>
        <v/>
      </c>
      <c r="K52" s="347" t="str">
        <f t="shared" si="2"/>
        <v>Food29</v>
      </c>
      <c r="L52" s="347">
        <v>29</v>
      </c>
      <c r="M52" s="347" t="s">
        <v>364</v>
      </c>
      <c r="N52" s="348">
        <v>1</v>
      </c>
      <c r="O52" s="347" t="s">
        <v>739</v>
      </c>
    </row>
    <row r="53" spans="7:15" x14ac:dyDescent="0.2">
      <c r="G53" s="345" t="str">
        <f t="shared" si="0"/>
        <v>NONE:</v>
      </c>
      <c r="H53" s="345">
        <v>30</v>
      </c>
      <c r="I53" s="345" t="str">
        <f>IFERROR(VLOOKUP(G53&amp;H53,$K:$O,5,FALSE),"")</f>
        <v/>
      </c>
      <c r="K53" s="347" t="str">
        <f t="shared" si="2"/>
        <v>Food30</v>
      </c>
      <c r="L53" s="347">
        <v>30</v>
      </c>
      <c r="M53" s="347" t="s">
        <v>364</v>
      </c>
      <c r="N53" s="348">
        <v>1</v>
      </c>
      <c r="O53" s="347" t="s">
        <v>740</v>
      </c>
    </row>
    <row r="54" spans="7:15" x14ac:dyDescent="0.2">
      <c r="G54" s="345" t="str">
        <f t="shared" si="0"/>
        <v>NONE:</v>
      </c>
      <c r="H54" s="345">
        <v>31</v>
      </c>
      <c r="I54" s="345" t="str">
        <f>IFERROR(VLOOKUP(G54&amp;H54,$K:$O,5,FALSE),"")</f>
        <v/>
      </c>
      <c r="K54" s="356" t="str">
        <f t="shared" si="2"/>
        <v>Food31</v>
      </c>
      <c r="L54" s="356">
        <v>31</v>
      </c>
      <c r="M54" s="356" t="s">
        <v>364</v>
      </c>
      <c r="N54" s="357">
        <v>1</v>
      </c>
      <c r="O54" s="358" t="s">
        <v>919</v>
      </c>
    </row>
    <row r="55" spans="7:15" x14ac:dyDescent="0.2">
      <c r="G55" s="345" t="str">
        <f t="shared" si="0"/>
        <v>NONE:</v>
      </c>
      <c r="H55" s="345">
        <v>32</v>
      </c>
      <c r="I55" s="345" t="str">
        <f>IFERROR(VLOOKUP(G55&amp;H55,$K:$O,5,FALSE),"")</f>
        <v/>
      </c>
      <c r="K55" s="586" t="str">
        <f t="shared" si="2"/>
        <v>Consumables1</v>
      </c>
      <c r="L55" s="586">
        <v>1</v>
      </c>
      <c r="M55" s="366" t="s">
        <v>741</v>
      </c>
      <c r="N55" s="365">
        <v>2</v>
      </c>
      <c r="O55" s="366" t="s">
        <v>1005</v>
      </c>
    </row>
    <row r="56" spans="7:15" x14ac:dyDescent="0.2">
      <c r="G56" s="345" t="str">
        <f t="shared" ref="G56:G87" si="3">$B$8</f>
        <v>NONE:</v>
      </c>
      <c r="H56" s="345">
        <v>33</v>
      </c>
      <c r="I56" s="345" t="str">
        <f>IFERROR(VLOOKUP(G56&amp;H56,$K:$O,5,FALSE),"")</f>
        <v/>
      </c>
      <c r="K56" s="359" t="str">
        <f t="shared" si="2"/>
        <v>Consumables2</v>
      </c>
      <c r="L56" s="359">
        <v>2</v>
      </c>
      <c r="M56" s="359" t="s">
        <v>741</v>
      </c>
      <c r="N56" s="360">
        <v>2</v>
      </c>
      <c r="O56" s="361" t="s">
        <v>808</v>
      </c>
    </row>
    <row r="57" spans="7:15" x14ac:dyDescent="0.2">
      <c r="G57" s="345" t="str">
        <f t="shared" si="3"/>
        <v>NONE:</v>
      </c>
      <c r="H57" s="345">
        <v>34</v>
      </c>
      <c r="I57" s="345" t="str">
        <f>IFERROR(VLOOKUP(G57&amp;H57,$K:$O,5,FALSE),"")</f>
        <v/>
      </c>
      <c r="K57" s="359" t="str">
        <f t="shared" si="2"/>
        <v>Consumables3</v>
      </c>
      <c r="L57" s="359">
        <v>3</v>
      </c>
      <c r="M57" s="359" t="s">
        <v>741</v>
      </c>
      <c r="N57" s="360">
        <v>2</v>
      </c>
      <c r="O57" s="361" t="s">
        <v>814</v>
      </c>
    </row>
    <row r="58" spans="7:15" x14ac:dyDescent="0.2">
      <c r="G58" s="345" t="str">
        <f t="shared" si="3"/>
        <v>NONE:</v>
      </c>
      <c r="H58" s="345">
        <v>35</v>
      </c>
      <c r="I58" s="345" t="str">
        <f>IFERROR(VLOOKUP(G58&amp;H58,$K:$O,5,FALSE),"")</f>
        <v/>
      </c>
      <c r="K58" s="359" t="str">
        <f t="shared" si="2"/>
        <v>Consumables4</v>
      </c>
      <c r="L58" s="359">
        <v>4</v>
      </c>
      <c r="M58" s="359" t="s">
        <v>741</v>
      </c>
      <c r="N58" s="360">
        <v>2</v>
      </c>
      <c r="O58" s="361" t="s">
        <v>838</v>
      </c>
    </row>
    <row r="59" spans="7:15" x14ac:dyDescent="0.2">
      <c r="G59" s="345" t="str">
        <f t="shared" si="3"/>
        <v>NONE:</v>
      </c>
      <c r="H59" s="345">
        <v>36</v>
      </c>
      <c r="I59" s="345" t="str">
        <f>IFERROR(VLOOKUP(G59&amp;H59,$K:$O,5,FALSE),"")</f>
        <v/>
      </c>
      <c r="K59" s="359" t="str">
        <f t="shared" si="2"/>
        <v>Consumables5</v>
      </c>
      <c r="L59" s="359">
        <v>5</v>
      </c>
      <c r="M59" s="359" t="s">
        <v>741</v>
      </c>
      <c r="N59" s="360">
        <v>2</v>
      </c>
      <c r="O59" s="361" t="s">
        <v>727</v>
      </c>
    </row>
    <row r="60" spans="7:15" x14ac:dyDescent="0.2">
      <c r="G60" s="345" t="str">
        <f t="shared" si="3"/>
        <v>NONE:</v>
      </c>
      <c r="H60" s="345">
        <v>37</v>
      </c>
      <c r="I60" s="345" t="str">
        <f>IFERROR(VLOOKUP(G60&amp;H60,$K:$O,5,FALSE),"")</f>
        <v/>
      </c>
      <c r="K60" s="359" t="str">
        <f t="shared" si="2"/>
        <v>Consumables6</v>
      </c>
      <c r="L60" s="359">
        <v>6</v>
      </c>
      <c r="M60" s="359" t="s">
        <v>741</v>
      </c>
      <c r="N60" s="360">
        <v>2</v>
      </c>
      <c r="O60" s="361" t="s">
        <v>876</v>
      </c>
    </row>
    <row r="61" spans="7:15" x14ac:dyDescent="0.2">
      <c r="G61" s="345" t="str">
        <f t="shared" si="3"/>
        <v>NONE:</v>
      </c>
      <c r="H61" s="345">
        <v>38</v>
      </c>
      <c r="I61" s="345" t="str">
        <f>IFERROR(VLOOKUP(G61&amp;H61,$K:$O,5,FALSE),"")</f>
        <v/>
      </c>
      <c r="K61" s="359" t="str">
        <f t="shared" si="2"/>
        <v>Consumables7</v>
      </c>
      <c r="L61" s="359">
        <v>7</v>
      </c>
      <c r="M61" s="359" t="s">
        <v>741</v>
      </c>
      <c r="N61" s="360">
        <v>2</v>
      </c>
      <c r="O61" s="361" t="s">
        <v>760</v>
      </c>
    </row>
    <row r="62" spans="7:15" x14ac:dyDescent="0.2">
      <c r="G62" s="345" t="str">
        <f t="shared" si="3"/>
        <v>NONE:</v>
      </c>
      <c r="H62" s="345">
        <v>39</v>
      </c>
      <c r="I62" s="345" t="str">
        <f>IFERROR(VLOOKUP(G62&amp;H62,$K:$O,5,FALSE),"")</f>
        <v/>
      </c>
      <c r="K62" s="359" t="str">
        <f t="shared" si="2"/>
        <v>Consumables8</v>
      </c>
      <c r="L62" s="359">
        <v>8</v>
      </c>
      <c r="M62" s="359" t="s">
        <v>741</v>
      </c>
      <c r="N62" s="360">
        <v>2</v>
      </c>
      <c r="O62" s="361" t="s">
        <v>854</v>
      </c>
    </row>
    <row r="63" spans="7:15" x14ac:dyDescent="0.2">
      <c r="G63" s="345" t="str">
        <f t="shared" si="3"/>
        <v>NONE:</v>
      </c>
      <c r="H63" s="345">
        <v>40</v>
      </c>
      <c r="I63" s="345" t="str">
        <f>IFERROR(VLOOKUP(G63&amp;H63,$K:$O,5,FALSE),"")</f>
        <v/>
      </c>
      <c r="K63" s="359" t="str">
        <f t="shared" si="2"/>
        <v>Consumables9</v>
      </c>
      <c r="L63" s="359">
        <v>9</v>
      </c>
      <c r="M63" s="359" t="s">
        <v>741</v>
      </c>
      <c r="N63" s="360">
        <v>2</v>
      </c>
      <c r="O63" s="361" t="s">
        <v>851</v>
      </c>
    </row>
    <row r="64" spans="7:15" x14ac:dyDescent="0.2">
      <c r="G64" s="345" t="str">
        <f t="shared" si="3"/>
        <v>NONE:</v>
      </c>
      <c r="H64" s="345">
        <v>41</v>
      </c>
      <c r="I64" s="345" t="str">
        <f>IFERROR(VLOOKUP(G64&amp;H64,$K:$O,5,FALSE),"")</f>
        <v/>
      </c>
      <c r="K64" s="359" t="str">
        <f t="shared" si="2"/>
        <v>Consumables10</v>
      </c>
      <c r="L64" s="359">
        <v>10</v>
      </c>
      <c r="M64" s="359" t="s">
        <v>741</v>
      </c>
      <c r="N64" s="360">
        <v>2</v>
      </c>
      <c r="O64" s="361" t="s">
        <v>772</v>
      </c>
    </row>
    <row r="65" spans="7:15" x14ac:dyDescent="0.2">
      <c r="G65" s="345" t="str">
        <f t="shared" si="3"/>
        <v>NONE:</v>
      </c>
      <c r="H65" s="345">
        <v>42</v>
      </c>
      <c r="I65" s="345" t="str">
        <f>IFERROR(VLOOKUP(G65&amp;H65,$K:$O,5,FALSE),"")</f>
        <v/>
      </c>
      <c r="K65" s="359" t="str">
        <f t="shared" si="2"/>
        <v>Consumables11</v>
      </c>
      <c r="L65" s="359">
        <v>11</v>
      </c>
      <c r="M65" s="359" t="s">
        <v>741</v>
      </c>
      <c r="N65" s="360">
        <v>2</v>
      </c>
      <c r="O65" s="361" t="s">
        <v>818</v>
      </c>
    </row>
    <row r="66" spans="7:15" x14ac:dyDescent="0.2">
      <c r="G66" s="345" t="str">
        <f t="shared" si="3"/>
        <v>NONE:</v>
      </c>
      <c r="H66" s="345">
        <v>43</v>
      </c>
      <c r="I66" s="345" t="str">
        <f>IFERROR(VLOOKUP(G66&amp;H66,$K:$O,5,FALSE),"")</f>
        <v/>
      </c>
      <c r="K66" s="359" t="str">
        <f t="shared" si="2"/>
        <v>Consumables12</v>
      </c>
      <c r="L66" s="359">
        <v>12</v>
      </c>
      <c r="M66" s="359" t="s">
        <v>741</v>
      </c>
      <c r="N66" s="360">
        <v>2</v>
      </c>
      <c r="O66" s="361" t="s">
        <v>761</v>
      </c>
    </row>
    <row r="67" spans="7:15" x14ac:dyDescent="0.2">
      <c r="G67" s="345" t="str">
        <f t="shared" si="3"/>
        <v>NONE:</v>
      </c>
      <c r="H67" s="345">
        <v>44</v>
      </c>
      <c r="I67" s="345" t="str">
        <f>IFERROR(VLOOKUP(G67&amp;H67,$K:$O,5,FALSE),"")</f>
        <v/>
      </c>
      <c r="K67" s="359" t="str">
        <f t="shared" si="2"/>
        <v>Consumables13</v>
      </c>
      <c r="L67" s="359">
        <v>13</v>
      </c>
      <c r="M67" s="359" t="s">
        <v>741</v>
      </c>
      <c r="N67" s="360">
        <v>2</v>
      </c>
      <c r="O67" s="361" t="s">
        <v>793</v>
      </c>
    </row>
    <row r="68" spans="7:15" x14ac:dyDescent="0.2">
      <c r="G68" s="345" t="str">
        <f t="shared" si="3"/>
        <v>NONE:</v>
      </c>
      <c r="H68" s="345">
        <v>45</v>
      </c>
      <c r="I68" s="345" t="str">
        <f>IFERROR(VLOOKUP(G68&amp;H68,$K:$O,5,FALSE),"")</f>
        <v/>
      </c>
      <c r="K68" s="359" t="str">
        <f t="shared" si="2"/>
        <v>Consumables14</v>
      </c>
      <c r="L68" s="359">
        <v>14</v>
      </c>
      <c r="M68" s="359" t="s">
        <v>741</v>
      </c>
      <c r="N68" s="360">
        <v>2</v>
      </c>
      <c r="O68" s="361" t="s">
        <v>811</v>
      </c>
    </row>
    <row r="69" spans="7:15" x14ac:dyDescent="0.2">
      <c r="G69" s="345" t="str">
        <f t="shared" si="3"/>
        <v>NONE:</v>
      </c>
      <c r="H69" s="345">
        <v>46</v>
      </c>
      <c r="I69" s="345" t="str">
        <f>IFERROR(VLOOKUP(G69&amp;H69,$K:$O,5,FALSE),"")</f>
        <v/>
      </c>
      <c r="K69" s="359" t="str">
        <f t="shared" si="2"/>
        <v>Consumables15</v>
      </c>
      <c r="L69" s="359">
        <v>15</v>
      </c>
      <c r="M69" s="359" t="s">
        <v>741</v>
      </c>
      <c r="N69" s="360">
        <v>2</v>
      </c>
      <c r="O69" s="361" t="s">
        <v>790</v>
      </c>
    </row>
    <row r="70" spans="7:15" x14ac:dyDescent="0.2">
      <c r="G70" s="345" t="str">
        <f t="shared" si="3"/>
        <v>NONE:</v>
      </c>
      <c r="H70" s="345">
        <v>47</v>
      </c>
      <c r="I70" s="345" t="str">
        <f>IFERROR(VLOOKUP(G70&amp;H70,$K:$O,5,FALSE),"")</f>
        <v/>
      </c>
      <c r="K70" s="359" t="str">
        <f t="shared" si="2"/>
        <v>Consumables16</v>
      </c>
      <c r="L70" s="359">
        <v>16</v>
      </c>
      <c r="M70" s="359" t="s">
        <v>741</v>
      </c>
      <c r="N70" s="360">
        <v>2</v>
      </c>
      <c r="O70" s="361" t="s">
        <v>805</v>
      </c>
    </row>
    <row r="71" spans="7:15" x14ac:dyDescent="0.2">
      <c r="G71" s="345" t="str">
        <f t="shared" si="3"/>
        <v>NONE:</v>
      </c>
      <c r="H71" s="345">
        <v>48</v>
      </c>
      <c r="I71" s="345" t="str">
        <f>IFERROR(VLOOKUP(G71&amp;H71,$K:$O,5,FALSE),"")</f>
        <v/>
      </c>
      <c r="K71" s="359" t="str">
        <f t="shared" si="2"/>
        <v>Consumables17</v>
      </c>
      <c r="L71" s="359">
        <v>17</v>
      </c>
      <c r="M71" s="359" t="s">
        <v>741</v>
      </c>
      <c r="N71" s="360">
        <v>2</v>
      </c>
      <c r="O71" s="361" t="s">
        <v>870</v>
      </c>
    </row>
    <row r="72" spans="7:15" x14ac:dyDescent="0.2">
      <c r="G72" s="345" t="str">
        <f t="shared" si="3"/>
        <v>NONE:</v>
      </c>
      <c r="H72" s="345">
        <v>49</v>
      </c>
      <c r="I72" s="345" t="str">
        <f>IFERROR(VLOOKUP(G72&amp;H72,$K:$O,5,FALSE),"")</f>
        <v/>
      </c>
      <c r="K72" s="359" t="str">
        <f t="shared" si="2"/>
        <v>Consumables18</v>
      </c>
      <c r="L72" s="359">
        <v>18</v>
      </c>
      <c r="M72" s="359" t="s">
        <v>741</v>
      </c>
      <c r="N72" s="360">
        <v>2</v>
      </c>
      <c r="O72" s="361" t="s">
        <v>867</v>
      </c>
    </row>
    <row r="73" spans="7:15" x14ac:dyDescent="0.2">
      <c r="G73" s="345" t="str">
        <f t="shared" si="3"/>
        <v>NONE:</v>
      </c>
      <c r="H73" s="345">
        <v>50</v>
      </c>
      <c r="I73" s="345" t="str">
        <f>IFERROR(VLOOKUP(G73&amp;H73,$K:$O,5,FALSE),"")</f>
        <v/>
      </c>
      <c r="K73" s="359" t="str">
        <f t="shared" si="2"/>
        <v>Consumables19</v>
      </c>
      <c r="L73" s="359">
        <v>19</v>
      </c>
      <c r="M73" s="359" t="s">
        <v>741</v>
      </c>
      <c r="N73" s="360">
        <v>2</v>
      </c>
      <c r="O73" s="361" t="s">
        <v>795</v>
      </c>
    </row>
    <row r="74" spans="7:15" x14ac:dyDescent="0.2">
      <c r="G74" s="345" t="str">
        <f t="shared" si="3"/>
        <v>NONE:</v>
      </c>
      <c r="H74" s="345">
        <v>51</v>
      </c>
      <c r="I74" s="345" t="str">
        <f>IFERROR(VLOOKUP(G74&amp;H74,$K:$O,5,FALSE),"")</f>
        <v/>
      </c>
      <c r="K74" s="359" t="str">
        <f t="shared" si="2"/>
        <v>Consumables20</v>
      </c>
      <c r="L74" s="359">
        <v>20</v>
      </c>
      <c r="M74" s="359" t="s">
        <v>741</v>
      </c>
      <c r="N74" s="360">
        <v>2</v>
      </c>
      <c r="O74" s="361" t="s">
        <v>796</v>
      </c>
    </row>
    <row r="75" spans="7:15" x14ac:dyDescent="0.2">
      <c r="G75" s="345" t="str">
        <f t="shared" si="3"/>
        <v>NONE:</v>
      </c>
      <c r="H75" s="345">
        <v>52</v>
      </c>
      <c r="I75" s="345" t="str">
        <f>IFERROR(VLOOKUP(G75&amp;H75,$K:$O,5,FALSE),"")</f>
        <v/>
      </c>
      <c r="K75" s="359" t="str">
        <f t="shared" si="2"/>
        <v>Consumables21</v>
      </c>
      <c r="L75" s="359">
        <v>21</v>
      </c>
      <c r="M75" s="359" t="s">
        <v>741</v>
      </c>
      <c r="N75" s="360">
        <v>2</v>
      </c>
      <c r="O75" s="361" t="s">
        <v>886</v>
      </c>
    </row>
    <row r="76" spans="7:15" x14ac:dyDescent="0.2">
      <c r="G76" s="345" t="str">
        <f t="shared" si="3"/>
        <v>NONE:</v>
      </c>
      <c r="H76" s="345">
        <v>53</v>
      </c>
      <c r="I76" s="345" t="str">
        <f>IFERROR(VLOOKUP(G76&amp;H76,$K:$O,5,FALSE),"")</f>
        <v/>
      </c>
      <c r="K76" s="359" t="str">
        <f t="shared" si="2"/>
        <v>Consumables22</v>
      </c>
      <c r="L76" s="359">
        <v>22</v>
      </c>
      <c r="M76" s="359" t="s">
        <v>741</v>
      </c>
      <c r="N76" s="360">
        <v>2</v>
      </c>
      <c r="O76" s="361" t="s">
        <v>762</v>
      </c>
    </row>
    <row r="77" spans="7:15" x14ac:dyDescent="0.2">
      <c r="G77" s="345" t="str">
        <f t="shared" si="3"/>
        <v>NONE:</v>
      </c>
      <c r="H77" s="345">
        <v>54</v>
      </c>
      <c r="I77" s="345" t="str">
        <f>IFERROR(VLOOKUP(G77&amp;H77,$K:$O,5,FALSE),"")</f>
        <v/>
      </c>
      <c r="K77" s="359" t="str">
        <f t="shared" si="2"/>
        <v>Consumables23</v>
      </c>
      <c r="L77" s="359">
        <v>23</v>
      </c>
      <c r="M77" s="359" t="s">
        <v>741</v>
      </c>
      <c r="N77" s="360">
        <v>2</v>
      </c>
      <c r="O77" s="361" t="s">
        <v>837</v>
      </c>
    </row>
    <row r="78" spans="7:15" x14ac:dyDescent="0.2">
      <c r="G78" s="345" t="str">
        <f t="shared" si="3"/>
        <v>NONE:</v>
      </c>
      <c r="H78" s="345">
        <v>55</v>
      </c>
      <c r="I78" s="345" t="str">
        <f>IFERROR(VLOOKUP(G78&amp;H78,$K:$O,5,FALSE),"")</f>
        <v/>
      </c>
      <c r="K78" s="359" t="str">
        <f t="shared" si="2"/>
        <v>Consumables24</v>
      </c>
      <c r="L78" s="359">
        <v>24</v>
      </c>
      <c r="M78" s="359" t="s">
        <v>741</v>
      </c>
      <c r="N78" s="360">
        <v>2</v>
      </c>
      <c r="O78" s="361" t="s">
        <v>845</v>
      </c>
    </row>
    <row r="79" spans="7:15" x14ac:dyDescent="0.2">
      <c r="G79" s="345" t="str">
        <f t="shared" si="3"/>
        <v>NONE:</v>
      </c>
      <c r="H79" s="345">
        <v>56</v>
      </c>
      <c r="I79" s="345" t="str">
        <f>IFERROR(VLOOKUP(G79&amp;H79,$K:$O,5,FALSE),"")</f>
        <v/>
      </c>
      <c r="K79" s="359" t="str">
        <f t="shared" si="2"/>
        <v>Consumables25</v>
      </c>
      <c r="L79" s="359">
        <v>25</v>
      </c>
      <c r="M79" s="359" t="s">
        <v>741</v>
      </c>
      <c r="N79" s="360">
        <v>2</v>
      </c>
      <c r="O79" s="361" t="s">
        <v>763</v>
      </c>
    </row>
    <row r="80" spans="7:15" x14ac:dyDescent="0.2">
      <c r="G80" s="345" t="str">
        <f t="shared" si="3"/>
        <v>NONE:</v>
      </c>
      <c r="H80" s="345">
        <v>57</v>
      </c>
      <c r="I80" s="345" t="str">
        <f>IFERROR(VLOOKUP(G80&amp;H80,$K:$O,5,FALSE),"")</f>
        <v/>
      </c>
      <c r="K80" s="359" t="str">
        <f t="shared" si="2"/>
        <v>Consumables26</v>
      </c>
      <c r="L80" s="359">
        <v>26</v>
      </c>
      <c r="M80" s="359" t="s">
        <v>741</v>
      </c>
      <c r="N80" s="360">
        <v>2</v>
      </c>
      <c r="O80" s="361" t="s">
        <v>835</v>
      </c>
    </row>
    <row r="81" spans="7:15" x14ac:dyDescent="0.2">
      <c r="G81" s="345" t="str">
        <f t="shared" si="3"/>
        <v>NONE:</v>
      </c>
      <c r="H81" s="345">
        <v>58</v>
      </c>
      <c r="I81" s="345" t="str">
        <f>IFERROR(VLOOKUP(G81&amp;H81,$K:$O,5,FALSE),"")</f>
        <v/>
      </c>
      <c r="K81" s="359" t="str">
        <f t="shared" si="2"/>
        <v>Consumables27</v>
      </c>
      <c r="L81" s="359">
        <v>27</v>
      </c>
      <c r="M81" s="359" t="s">
        <v>741</v>
      </c>
      <c r="N81" s="360">
        <v>2</v>
      </c>
      <c r="O81" s="361" t="s">
        <v>794</v>
      </c>
    </row>
    <row r="82" spans="7:15" x14ac:dyDescent="0.2">
      <c r="G82" s="345" t="str">
        <f t="shared" si="3"/>
        <v>NONE:</v>
      </c>
      <c r="H82" s="345">
        <v>59</v>
      </c>
      <c r="I82" s="345" t="str">
        <f>IFERROR(VLOOKUP(G82&amp;H82,$K:$O,5,FALSE),"")</f>
        <v/>
      </c>
      <c r="K82" s="359" t="str">
        <f t="shared" si="2"/>
        <v>Consumables28</v>
      </c>
      <c r="L82" s="359">
        <v>28</v>
      </c>
      <c r="M82" s="359" t="s">
        <v>741</v>
      </c>
      <c r="N82" s="360">
        <v>2</v>
      </c>
      <c r="O82" s="361" t="s">
        <v>833</v>
      </c>
    </row>
    <row r="83" spans="7:15" x14ac:dyDescent="0.2">
      <c r="G83" s="345" t="str">
        <f t="shared" si="3"/>
        <v>NONE:</v>
      </c>
      <c r="H83" s="345">
        <v>60</v>
      </c>
      <c r="I83" s="345" t="str">
        <f>IFERROR(VLOOKUP(G83&amp;H83,$K:$O,5,FALSE),"")</f>
        <v/>
      </c>
      <c r="K83" s="359" t="str">
        <f t="shared" si="2"/>
        <v>Consumables29</v>
      </c>
      <c r="L83" s="359">
        <v>29</v>
      </c>
      <c r="M83" s="359" t="s">
        <v>741</v>
      </c>
      <c r="N83" s="360">
        <v>2</v>
      </c>
      <c r="O83" s="361" t="s">
        <v>771</v>
      </c>
    </row>
    <row r="84" spans="7:15" x14ac:dyDescent="0.2">
      <c r="G84" s="345" t="str">
        <f t="shared" si="3"/>
        <v>NONE:</v>
      </c>
      <c r="H84" s="345">
        <v>61</v>
      </c>
      <c r="I84" s="345" t="str">
        <f>IFERROR(VLOOKUP(G84&amp;H84,$K:$O,5,FALSE),"")</f>
        <v/>
      </c>
      <c r="K84" s="359" t="str">
        <f t="shared" si="2"/>
        <v>Consumables30</v>
      </c>
      <c r="L84" s="359">
        <v>30</v>
      </c>
      <c r="M84" s="359" t="s">
        <v>741</v>
      </c>
      <c r="N84" s="360">
        <v>2</v>
      </c>
      <c r="O84" s="361" t="s">
        <v>827</v>
      </c>
    </row>
    <row r="85" spans="7:15" x14ac:dyDescent="0.2">
      <c r="G85" s="345" t="str">
        <f t="shared" si="3"/>
        <v>NONE:</v>
      </c>
      <c r="H85" s="345">
        <v>62</v>
      </c>
      <c r="I85" s="345" t="str">
        <f>IFERROR(VLOOKUP(G85&amp;H85,$K:$O,5,FALSE),"")</f>
        <v/>
      </c>
      <c r="K85" s="359" t="str">
        <f t="shared" si="2"/>
        <v>Consumables31</v>
      </c>
      <c r="L85" s="359">
        <v>31</v>
      </c>
      <c r="M85" s="359" t="s">
        <v>741</v>
      </c>
      <c r="N85" s="360">
        <v>2</v>
      </c>
      <c r="O85" s="361" t="s">
        <v>885</v>
      </c>
    </row>
    <row r="86" spans="7:15" x14ac:dyDescent="0.2">
      <c r="G86" s="345" t="str">
        <f t="shared" si="3"/>
        <v>NONE:</v>
      </c>
      <c r="H86" s="345">
        <v>63</v>
      </c>
      <c r="I86" s="345" t="str">
        <f>IFERROR(VLOOKUP(G86&amp;H86,$K:$O,5,FALSE),"")</f>
        <v/>
      </c>
      <c r="K86" s="359" t="str">
        <f t="shared" si="2"/>
        <v>Consumables32</v>
      </c>
      <c r="L86" s="359">
        <v>32</v>
      </c>
      <c r="M86" s="359" t="s">
        <v>741</v>
      </c>
      <c r="N86" s="360">
        <v>2</v>
      </c>
      <c r="O86" s="361" t="s">
        <v>789</v>
      </c>
    </row>
    <row r="87" spans="7:15" x14ac:dyDescent="0.2">
      <c r="G87" s="345" t="str">
        <f t="shared" si="3"/>
        <v>NONE:</v>
      </c>
      <c r="H87" s="345">
        <v>64</v>
      </c>
      <c r="I87" s="345" t="str">
        <f>IFERROR(VLOOKUP(G87&amp;H87,$K:$O,5,FALSE),"")</f>
        <v/>
      </c>
      <c r="K87" s="359" t="str">
        <f t="shared" si="2"/>
        <v>Consumables33</v>
      </c>
      <c r="L87" s="359">
        <v>33</v>
      </c>
      <c r="M87" s="359" t="s">
        <v>741</v>
      </c>
      <c r="N87" s="360">
        <v>2</v>
      </c>
      <c r="O87" s="361" t="s">
        <v>777</v>
      </c>
    </row>
    <row r="88" spans="7:15" x14ac:dyDescent="0.2">
      <c r="G88" s="345" t="str">
        <f t="shared" ref="G88:G119" si="4">$B$8</f>
        <v>NONE:</v>
      </c>
      <c r="H88" s="345">
        <v>65</v>
      </c>
      <c r="I88" s="345" t="str">
        <f>IFERROR(VLOOKUP(G88&amp;H88,$K:$O,5,FALSE),"")</f>
        <v/>
      </c>
      <c r="K88" s="359" t="str">
        <f t="shared" si="2"/>
        <v>Consumables34</v>
      </c>
      <c r="L88" s="359">
        <v>34</v>
      </c>
      <c r="M88" s="359" t="s">
        <v>741</v>
      </c>
      <c r="N88" s="360">
        <v>2</v>
      </c>
      <c r="O88" s="361" t="s">
        <v>785</v>
      </c>
    </row>
    <row r="89" spans="7:15" x14ac:dyDescent="0.2">
      <c r="G89" s="345" t="str">
        <f t="shared" si="4"/>
        <v>NONE:</v>
      </c>
      <c r="H89" s="345">
        <v>66</v>
      </c>
      <c r="I89" s="345" t="str">
        <f>IFERROR(VLOOKUP(G89&amp;H89,$K:$O,5,FALSE),"")</f>
        <v/>
      </c>
      <c r="K89" s="359" t="str">
        <f t="shared" si="2"/>
        <v>Consumables35</v>
      </c>
      <c r="L89" s="359">
        <v>35</v>
      </c>
      <c r="M89" s="359" t="s">
        <v>741</v>
      </c>
      <c r="N89" s="360">
        <v>2</v>
      </c>
      <c r="O89" s="361" t="s">
        <v>803</v>
      </c>
    </row>
    <row r="90" spans="7:15" x14ac:dyDescent="0.2">
      <c r="G90" s="345" t="str">
        <f t="shared" si="4"/>
        <v>NONE:</v>
      </c>
      <c r="H90" s="345">
        <v>67</v>
      </c>
      <c r="I90" s="345" t="str">
        <f>IFERROR(VLOOKUP(G90&amp;H90,$K:$O,5,FALSE),"")</f>
        <v/>
      </c>
      <c r="K90" s="359" t="str">
        <f t="shared" si="2"/>
        <v>Consumables36</v>
      </c>
      <c r="L90" s="359">
        <v>36</v>
      </c>
      <c r="M90" s="359" t="s">
        <v>741</v>
      </c>
      <c r="N90" s="360">
        <v>2</v>
      </c>
      <c r="O90" s="361" t="s">
        <v>769</v>
      </c>
    </row>
    <row r="91" spans="7:15" x14ac:dyDescent="0.2">
      <c r="G91" s="345" t="str">
        <f t="shared" si="4"/>
        <v>NONE:</v>
      </c>
      <c r="H91" s="345">
        <v>68</v>
      </c>
      <c r="I91" s="345" t="str">
        <f>IFERROR(VLOOKUP(G91&amp;H91,$K:$O,5,FALSE),"")</f>
        <v/>
      </c>
      <c r="K91" s="359" t="str">
        <f t="shared" si="2"/>
        <v>Consumables37</v>
      </c>
      <c r="L91" s="359">
        <v>37</v>
      </c>
      <c r="M91" s="359" t="s">
        <v>741</v>
      </c>
      <c r="N91" s="360">
        <v>2</v>
      </c>
      <c r="O91" s="361" t="s">
        <v>843</v>
      </c>
    </row>
    <row r="92" spans="7:15" x14ac:dyDescent="0.2">
      <c r="G92" s="345" t="str">
        <f t="shared" si="4"/>
        <v>NONE:</v>
      </c>
      <c r="H92" s="345">
        <v>69</v>
      </c>
      <c r="I92" s="345" t="str">
        <f>IFERROR(VLOOKUP(G92&amp;H92,$K:$O,5,FALSE),"")</f>
        <v/>
      </c>
      <c r="K92" s="359" t="str">
        <f t="shared" si="2"/>
        <v>Consumables38</v>
      </c>
      <c r="L92" s="359">
        <v>38</v>
      </c>
      <c r="M92" s="359" t="s">
        <v>741</v>
      </c>
      <c r="N92" s="360">
        <v>2</v>
      </c>
      <c r="O92" s="361" t="s">
        <v>846</v>
      </c>
    </row>
    <row r="93" spans="7:15" x14ac:dyDescent="0.2">
      <c r="G93" s="345" t="str">
        <f t="shared" si="4"/>
        <v>NONE:</v>
      </c>
      <c r="H93" s="345">
        <v>70</v>
      </c>
      <c r="I93" s="345" t="str">
        <f>IFERROR(VLOOKUP(G93&amp;H93,$K:$O,5,FALSE),"")</f>
        <v/>
      </c>
      <c r="K93" s="359" t="str">
        <f t="shared" si="2"/>
        <v>Consumables39</v>
      </c>
      <c r="L93" s="359">
        <v>39</v>
      </c>
      <c r="M93" s="359" t="s">
        <v>741</v>
      </c>
      <c r="N93" s="360">
        <v>2</v>
      </c>
      <c r="O93" s="361" t="s">
        <v>880</v>
      </c>
    </row>
    <row r="94" spans="7:15" x14ac:dyDescent="0.2">
      <c r="G94" s="345" t="str">
        <f t="shared" si="4"/>
        <v>NONE:</v>
      </c>
      <c r="H94" s="345">
        <v>71</v>
      </c>
      <c r="I94" s="345" t="str">
        <f>IFERROR(VLOOKUP(G94&amp;H94,$K:$O,5,FALSE),"")</f>
        <v/>
      </c>
      <c r="K94" s="359" t="str">
        <f t="shared" si="2"/>
        <v>Consumables40</v>
      </c>
      <c r="L94" s="359">
        <v>40</v>
      </c>
      <c r="M94" s="359" t="s">
        <v>741</v>
      </c>
      <c r="N94" s="360">
        <v>2</v>
      </c>
      <c r="O94" s="361" t="s">
        <v>839</v>
      </c>
    </row>
    <row r="95" spans="7:15" x14ac:dyDescent="0.2">
      <c r="G95" s="345" t="str">
        <f t="shared" si="4"/>
        <v>NONE:</v>
      </c>
      <c r="H95" s="345">
        <v>72</v>
      </c>
      <c r="I95" s="345" t="str">
        <f>IFERROR(VLOOKUP(G95&amp;H95,$K:$O,5,FALSE),"")</f>
        <v/>
      </c>
      <c r="K95" s="359" t="str">
        <f t="shared" si="2"/>
        <v>Consumables41</v>
      </c>
      <c r="L95" s="359">
        <v>41</v>
      </c>
      <c r="M95" s="359" t="s">
        <v>741</v>
      </c>
      <c r="N95" s="360">
        <v>2</v>
      </c>
      <c r="O95" s="361" t="s">
        <v>801</v>
      </c>
    </row>
    <row r="96" spans="7:15" x14ac:dyDescent="0.2">
      <c r="G96" s="345" t="str">
        <f t="shared" si="4"/>
        <v>NONE:</v>
      </c>
      <c r="H96" s="345">
        <v>73</v>
      </c>
      <c r="I96" s="345" t="str">
        <f>IFERROR(VLOOKUP(G96&amp;H96,$K:$O,5,FALSE),"")</f>
        <v/>
      </c>
      <c r="K96" s="359" t="str">
        <f t="shared" ref="K96:K159" si="5">M96&amp;L96</f>
        <v>Consumables42</v>
      </c>
      <c r="L96" s="359">
        <v>42</v>
      </c>
      <c r="M96" s="359" t="s">
        <v>741</v>
      </c>
      <c r="N96" s="360">
        <v>2</v>
      </c>
      <c r="O96" s="361" t="s">
        <v>783</v>
      </c>
    </row>
    <row r="97" spans="7:15" x14ac:dyDescent="0.2">
      <c r="G97" s="345" t="str">
        <f t="shared" si="4"/>
        <v>NONE:</v>
      </c>
      <c r="H97" s="345">
        <v>74</v>
      </c>
      <c r="I97" s="345" t="str">
        <f>IFERROR(VLOOKUP(G97&amp;H97,$K:$O,5,FALSE),"")</f>
        <v/>
      </c>
      <c r="K97" s="359" t="str">
        <f t="shared" si="5"/>
        <v>Consumables43</v>
      </c>
      <c r="L97" s="359">
        <v>43</v>
      </c>
      <c r="M97" s="359" t="s">
        <v>741</v>
      </c>
      <c r="N97" s="360">
        <v>2</v>
      </c>
      <c r="O97" s="361" t="s">
        <v>764</v>
      </c>
    </row>
    <row r="98" spans="7:15" x14ac:dyDescent="0.2">
      <c r="G98" s="345" t="str">
        <f t="shared" si="4"/>
        <v>NONE:</v>
      </c>
      <c r="H98" s="345">
        <v>75</v>
      </c>
      <c r="I98" s="345" t="str">
        <f>IFERROR(VLOOKUP(G98&amp;H98,$K:$O,5,FALSE),"")</f>
        <v/>
      </c>
      <c r="K98" s="359" t="str">
        <f t="shared" si="5"/>
        <v>Consumables44</v>
      </c>
      <c r="L98" s="359">
        <v>44</v>
      </c>
      <c r="M98" s="359" t="s">
        <v>741</v>
      </c>
      <c r="N98" s="360">
        <v>2</v>
      </c>
      <c r="O98" s="361" t="s">
        <v>781</v>
      </c>
    </row>
    <row r="99" spans="7:15" x14ac:dyDescent="0.2">
      <c r="G99" s="345" t="str">
        <f t="shared" si="4"/>
        <v>NONE:</v>
      </c>
      <c r="H99" s="345">
        <v>76</v>
      </c>
      <c r="I99" s="345" t="str">
        <f>IFERROR(VLOOKUP(G99&amp;H99,$K:$O,5,FALSE),"")</f>
        <v/>
      </c>
      <c r="K99" s="359" t="str">
        <f t="shared" si="5"/>
        <v>Consumables45</v>
      </c>
      <c r="L99" s="359">
        <v>45</v>
      </c>
      <c r="M99" s="359" t="s">
        <v>741</v>
      </c>
      <c r="N99" s="360">
        <v>2</v>
      </c>
      <c r="O99" s="361" t="s">
        <v>787</v>
      </c>
    </row>
    <row r="100" spans="7:15" x14ac:dyDescent="0.2">
      <c r="G100" s="345" t="str">
        <f t="shared" si="4"/>
        <v>NONE:</v>
      </c>
      <c r="H100" s="345">
        <v>77</v>
      </c>
      <c r="I100" s="345" t="str">
        <f>IFERROR(VLOOKUP(G100&amp;H100,$K:$O,5,FALSE),"")</f>
        <v/>
      </c>
      <c r="K100" s="359" t="str">
        <f t="shared" si="5"/>
        <v>Consumables46</v>
      </c>
      <c r="L100" s="359">
        <v>46</v>
      </c>
      <c r="M100" s="359" t="s">
        <v>741</v>
      </c>
      <c r="N100" s="360">
        <v>2</v>
      </c>
      <c r="O100" s="361" t="s">
        <v>865</v>
      </c>
    </row>
    <row r="101" spans="7:15" x14ac:dyDescent="0.2">
      <c r="G101" s="345" t="str">
        <f t="shared" si="4"/>
        <v>NONE:</v>
      </c>
      <c r="H101" s="345">
        <v>78</v>
      </c>
      <c r="I101" s="345" t="str">
        <f>IFERROR(VLOOKUP(G101&amp;H101,$K:$O,5,FALSE),"")</f>
        <v/>
      </c>
      <c r="K101" s="359" t="str">
        <f t="shared" si="5"/>
        <v>Consumables47</v>
      </c>
      <c r="L101" s="359">
        <v>47</v>
      </c>
      <c r="M101" s="359" t="s">
        <v>741</v>
      </c>
      <c r="N101" s="360">
        <v>2</v>
      </c>
      <c r="O101" s="361" t="s">
        <v>864</v>
      </c>
    </row>
    <row r="102" spans="7:15" x14ac:dyDescent="0.2">
      <c r="G102" s="345" t="str">
        <f t="shared" si="4"/>
        <v>NONE:</v>
      </c>
      <c r="H102" s="345">
        <v>79</v>
      </c>
      <c r="I102" s="345" t="str">
        <f>IFERROR(VLOOKUP(G102&amp;H102,$K:$O,5,FALSE),"")</f>
        <v/>
      </c>
      <c r="K102" s="359" t="str">
        <f t="shared" si="5"/>
        <v>Consumables48</v>
      </c>
      <c r="L102" s="359">
        <v>48</v>
      </c>
      <c r="M102" s="359" t="s">
        <v>741</v>
      </c>
      <c r="N102" s="360">
        <v>2</v>
      </c>
      <c r="O102" s="361" t="s">
        <v>853</v>
      </c>
    </row>
    <row r="103" spans="7:15" x14ac:dyDescent="0.2">
      <c r="G103" s="345" t="str">
        <f t="shared" si="4"/>
        <v>NONE:</v>
      </c>
      <c r="H103" s="345">
        <v>80</v>
      </c>
      <c r="I103" s="345" t="str">
        <f>IFERROR(VLOOKUP(G103&amp;H103,$K:$O,5,FALSE),"")</f>
        <v/>
      </c>
      <c r="K103" s="359" t="str">
        <f t="shared" si="5"/>
        <v>Consumables49</v>
      </c>
      <c r="L103" s="359">
        <v>49</v>
      </c>
      <c r="M103" s="359" t="s">
        <v>741</v>
      </c>
      <c r="N103" s="360">
        <v>2</v>
      </c>
      <c r="O103" s="361" t="s">
        <v>859</v>
      </c>
    </row>
    <row r="104" spans="7:15" x14ac:dyDescent="0.2">
      <c r="G104" s="345" t="str">
        <f t="shared" si="4"/>
        <v>NONE:</v>
      </c>
      <c r="H104" s="345">
        <v>81</v>
      </c>
      <c r="I104" s="345" t="str">
        <f>IFERROR(VLOOKUP(G104&amp;H104,$K:$O,5,FALSE),"")</f>
        <v/>
      </c>
      <c r="K104" s="359" t="str">
        <f t="shared" si="5"/>
        <v>Consumables50</v>
      </c>
      <c r="L104" s="359">
        <v>50</v>
      </c>
      <c r="M104" s="359" t="s">
        <v>741</v>
      </c>
      <c r="N104" s="360">
        <v>2</v>
      </c>
      <c r="O104" s="361" t="s">
        <v>840</v>
      </c>
    </row>
    <row r="105" spans="7:15" x14ac:dyDescent="0.2">
      <c r="G105" s="345" t="str">
        <f t="shared" si="4"/>
        <v>NONE:</v>
      </c>
      <c r="H105" s="345">
        <v>82</v>
      </c>
      <c r="I105" s="345" t="str">
        <f>IFERROR(VLOOKUP(G105&amp;H105,$K:$O,5,FALSE),"")</f>
        <v/>
      </c>
      <c r="K105" s="359" t="str">
        <f t="shared" si="5"/>
        <v>Consumables51</v>
      </c>
      <c r="L105" s="359">
        <v>51</v>
      </c>
      <c r="M105" s="359" t="s">
        <v>741</v>
      </c>
      <c r="N105" s="360">
        <v>2</v>
      </c>
      <c r="O105" s="361" t="s">
        <v>832</v>
      </c>
    </row>
    <row r="106" spans="7:15" x14ac:dyDescent="0.2">
      <c r="G106" s="345" t="str">
        <f t="shared" si="4"/>
        <v>NONE:</v>
      </c>
      <c r="H106" s="345">
        <v>83</v>
      </c>
      <c r="I106" s="345" t="str">
        <f>IFERROR(VLOOKUP(G106&amp;H106,$K:$O,5,FALSE),"")</f>
        <v/>
      </c>
      <c r="K106" s="359" t="str">
        <f t="shared" si="5"/>
        <v>Consumables52</v>
      </c>
      <c r="L106" s="359">
        <v>52</v>
      </c>
      <c r="M106" s="359" t="s">
        <v>741</v>
      </c>
      <c r="N106" s="360">
        <v>2</v>
      </c>
      <c r="O106" s="361" t="s">
        <v>826</v>
      </c>
    </row>
    <row r="107" spans="7:15" x14ac:dyDescent="0.2">
      <c r="G107" s="345" t="str">
        <f t="shared" si="4"/>
        <v>NONE:</v>
      </c>
      <c r="H107" s="345">
        <v>84</v>
      </c>
      <c r="I107" s="345" t="str">
        <f>IFERROR(VLOOKUP(G107&amp;H107,$K:$O,5,FALSE),"")</f>
        <v/>
      </c>
      <c r="K107" s="359" t="str">
        <f t="shared" si="5"/>
        <v>Consumables53</v>
      </c>
      <c r="L107" s="359">
        <v>53</v>
      </c>
      <c r="M107" s="359" t="s">
        <v>741</v>
      </c>
      <c r="N107" s="360">
        <v>2</v>
      </c>
      <c r="O107" s="361" t="s">
        <v>882</v>
      </c>
    </row>
    <row r="108" spans="7:15" x14ac:dyDescent="0.2">
      <c r="G108" s="345" t="str">
        <f t="shared" si="4"/>
        <v>NONE:</v>
      </c>
      <c r="H108" s="345">
        <v>85</v>
      </c>
      <c r="I108" s="345" t="str">
        <f>IFERROR(VLOOKUP(G108&amp;H108,$K:$O,5,FALSE),"")</f>
        <v/>
      </c>
      <c r="K108" s="359" t="str">
        <f t="shared" si="5"/>
        <v>Consumables54</v>
      </c>
      <c r="L108" s="359">
        <v>54</v>
      </c>
      <c r="M108" s="359" t="s">
        <v>741</v>
      </c>
      <c r="N108" s="360">
        <v>2</v>
      </c>
      <c r="O108" s="361" t="s">
        <v>879</v>
      </c>
    </row>
    <row r="109" spans="7:15" x14ac:dyDescent="0.2">
      <c r="G109" s="345" t="str">
        <f t="shared" si="4"/>
        <v>NONE:</v>
      </c>
      <c r="H109" s="345">
        <v>86</v>
      </c>
      <c r="I109" s="345" t="str">
        <f>IFERROR(VLOOKUP(G109&amp;H109,$K:$O,5,FALSE),"")</f>
        <v/>
      </c>
      <c r="K109" s="359" t="str">
        <f t="shared" si="5"/>
        <v>Consumables55</v>
      </c>
      <c r="L109" s="359">
        <v>55</v>
      </c>
      <c r="M109" s="359" t="s">
        <v>741</v>
      </c>
      <c r="N109" s="360">
        <v>2</v>
      </c>
      <c r="O109" s="361" t="s">
        <v>810</v>
      </c>
    </row>
    <row r="110" spans="7:15" x14ac:dyDescent="0.2">
      <c r="G110" s="345" t="str">
        <f t="shared" si="4"/>
        <v>NONE:</v>
      </c>
      <c r="H110" s="345">
        <v>87</v>
      </c>
      <c r="I110" s="345" t="str">
        <f>IFERROR(VLOOKUP(G110&amp;H110,$K:$O,5,FALSE),"")</f>
        <v/>
      </c>
      <c r="K110" s="359" t="str">
        <f t="shared" si="5"/>
        <v>Consumables56</v>
      </c>
      <c r="L110" s="359">
        <v>56</v>
      </c>
      <c r="M110" s="359" t="s">
        <v>741</v>
      </c>
      <c r="N110" s="360">
        <v>2</v>
      </c>
      <c r="O110" s="361" t="s">
        <v>825</v>
      </c>
    </row>
    <row r="111" spans="7:15" x14ac:dyDescent="0.2">
      <c r="G111" s="345" t="str">
        <f t="shared" si="4"/>
        <v>NONE:</v>
      </c>
      <c r="H111" s="345">
        <v>88</v>
      </c>
      <c r="I111" s="345" t="str">
        <f>IFERROR(VLOOKUP(G111&amp;H111,$K:$O,5,FALSE),"")</f>
        <v/>
      </c>
      <c r="K111" s="359" t="str">
        <f t="shared" si="5"/>
        <v>Consumables57</v>
      </c>
      <c r="L111" s="359">
        <v>57</v>
      </c>
      <c r="M111" s="359" t="s">
        <v>741</v>
      </c>
      <c r="N111" s="360">
        <v>2</v>
      </c>
      <c r="O111" s="361" t="s">
        <v>863</v>
      </c>
    </row>
    <row r="112" spans="7:15" x14ac:dyDescent="0.2">
      <c r="G112" s="345" t="str">
        <f t="shared" si="4"/>
        <v>NONE:</v>
      </c>
      <c r="H112" s="345">
        <v>89</v>
      </c>
      <c r="I112" s="345" t="str">
        <f>IFERROR(VLOOKUP(G112&amp;H112,$K:$O,5,FALSE),"")</f>
        <v/>
      </c>
      <c r="K112" s="359" t="str">
        <f t="shared" si="5"/>
        <v>Consumables58</v>
      </c>
      <c r="L112" s="359">
        <v>58</v>
      </c>
      <c r="M112" s="359" t="s">
        <v>741</v>
      </c>
      <c r="N112" s="360">
        <v>2</v>
      </c>
      <c r="O112" s="361" t="s">
        <v>857</v>
      </c>
    </row>
    <row r="113" spans="7:15" x14ac:dyDescent="0.2">
      <c r="G113" s="345" t="str">
        <f t="shared" si="4"/>
        <v>NONE:</v>
      </c>
      <c r="H113" s="345">
        <v>90</v>
      </c>
      <c r="I113" s="345" t="str">
        <f>IFERROR(VLOOKUP(G113&amp;H113,$K:$O,5,FALSE),"")</f>
        <v/>
      </c>
      <c r="K113" s="359" t="str">
        <f t="shared" si="5"/>
        <v>Consumables59</v>
      </c>
      <c r="L113" s="359">
        <v>59</v>
      </c>
      <c r="M113" s="359" t="s">
        <v>741</v>
      </c>
      <c r="N113" s="360">
        <v>2</v>
      </c>
      <c r="O113" s="361" t="s">
        <v>868</v>
      </c>
    </row>
    <row r="114" spans="7:15" x14ac:dyDescent="0.2">
      <c r="G114" s="345" t="str">
        <f t="shared" si="4"/>
        <v>NONE:</v>
      </c>
      <c r="H114" s="345">
        <v>91</v>
      </c>
      <c r="I114" s="345" t="str">
        <f>IFERROR(VLOOKUP(G114&amp;H114,$K:$O,5,FALSE),"")</f>
        <v/>
      </c>
      <c r="K114" s="359" t="str">
        <f t="shared" si="5"/>
        <v>Consumables60</v>
      </c>
      <c r="L114" s="359">
        <v>60</v>
      </c>
      <c r="M114" s="359" t="s">
        <v>741</v>
      </c>
      <c r="N114" s="360">
        <v>2</v>
      </c>
      <c r="O114" s="361" t="s">
        <v>875</v>
      </c>
    </row>
    <row r="115" spans="7:15" x14ac:dyDescent="0.2">
      <c r="G115" s="345" t="str">
        <f t="shared" si="4"/>
        <v>NONE:</v>
      </c>
      <c r="H115" s="345">
        <v>92</v>
      </c>
      <c r="I115" s="345" t="str">
        <f>IFERROR(VLOOKUP(G115&amp;H115,$K:$O,5,FALSE),"")</f>
        <v/>
      </c>
      <c r="K115" s="359" t="str">
        <f t="shared" si="5"/>
        <v>Consumables61</v>
      </c>
      <c r="L115" s="359">
        <v>61</v>
      </c>
      <c r="M115" s="359" t="s">
        <v>741</v>
      </c>
      <c r="N115" s="360">
        <v>2</v>
      </c>
      <c r="O115" s="361" t="s">
        <v>836</v>
      </c>
    </row>
    <row r="116" spans="7:15" x14ac:dyDescent="0.2">
      <c r="G116" s="345" t="str">
        <f t="shared" si="4"/>
        <v>NONE:</v>
      </c>
      <c r="H116" s="345">
        <v>93</v>
      </c>
      <c r="I116" s="345" t="str">
        <f>IFERROR(VLOOKUP(G116&amp;H116,$K:$O,5,FALSE),"")</f>
        <v/>
      </c>
      <c r="K116" s="359" t="str">
        <f t="shared" si="5"/>
        <v>Consumables62</v>
      </c>
      <c r="L116" s="359">
        <v>62</v>
      </c>
      <c r="M116" s="359" t="s">
        <v>741</v>
      </c>
      <c r="N116" s="360">
        <v>2</v>
      </c>
      <c r="O116" s="361" t="s">
        <v>883</v>
      </c>
    </row>
    <row r="117" spans="7:15" x14ac:dyDescent="0.2">
      <c r="G117" s="345" t="str">
        <f t="shared" si="4"/>
        <v>NONE:</v>
      </c>
      <c r="H117" s="345">
        <v>94</v>
      </c>
      <c r="I117" s="345" t="str">
        <f>IFERROR(VLOOKUP(G117&amp;H117,$K:$O,5,FALSE),"")</f>
        <v/>
      </c>
      <c r="K117" s="359" t="str">
        <f t="shared" si="5"/>
        <v>Consumables63</v>
      </c>
      <c r="L117" s="359">
        <v>63</v>
      </c>
      <c r="M117" s="359" t="s">
        <v>741</v>
      </c>
      <c r="N117" s="360">
        <v>2</v>
      </c>
      <c r="O117" s="361" t="s">
        <v>888</v>
      </c>
    </row>
    <row r="118" spans="7:15" x14ac:dyDescent="0.2">
      <c r="G118" s="345" t="str">
        <f t="shared" si="4"/>
        <v>NONE:</v>
      </c>
      <c r="H118" s="345">
        <v>95</v>
      </c>
      <c r="I118" s="345" t="str">
        <f>IFERROR(VLOOKUP(G118&amp;H118,$K:$O,5,FALSE),"")</f>
        <v/>
      </c>
      <c r="K118" s="359" t="str">
        <f t="shared" si="5"/>
        <v>Consumables64</v>
      </c>
      <c r="L118" s="359">
        <v>64</v>
      </c>
      <c r="M118" s="359" t="s">
        <v>741</v>
      </c>
      <c r="N118" s="360">
        <v>2</v>
      </c>
      <c r="O118" s="361" t="s">
        <v>824</v>
      </c>
    </row>
    <row r="119" spans="7:15" x14ac:dyDescent="0.2">
      <c r="G119" s="345" t="str">
        <f t="shared" si="4"/>
        <v>NONE:</v>
      </c>
      <c r="H119" s="345">
        <v>96</v>
      </c>
      <c r="I119" s="345" t="str">
        <f>IFERROR(VLOOKUP(G119&amp;H119,$K:$O,5,FALSE),"")</f>
        <v/>
      </c>
      <c r="K119" s="359" t="str">
        <f t="shared" si="5"/>
        <v>Consumables65</v>
      </c>
      <c r="L119" s="359">
        <v>65</v>
      </c>
      <c r="M119" s="359" t="s">
        <v>741</v>
      </c>
      <c r="N119" s="360">
        <v>2</v>
      </c>
      <c r="O119" s="361" t="s">
        <v>804</v>
      </c>
    </row>
    <row r="120" spans="7:15" x14ac:dyDescent="0.2">
      <c r="G120" s="345" t="str">
        <f t="shared" ref="G120:G151" si="6">$B$8</f>
        <v>NONE:</v>
      </c>
      <c r="H120" s="345">
        <v>97</v>
      </c>
      <c r="I120" s="345" t="str">
        <f>IFERROR(VLOOKUP(G120&amp;H120,$K:$O,5,FALSE),"")</f>
        <v/>
      </c>
      <c r="K120" s="359" t="str">
        <f t="shared" si="5"/>
        <v>Consumables66</v>
      </c>
      <c r="L120" s="359">
        <v>66</v>
      </c>
      <c r="M120" s="359" t="s">
        <v>741</v>
      </c>
      <c r="N120" s="360">
        <v>2</v>
      </c>
      <c r="O120" s="361" t="s">
        <v>722</v>
      </c>
    </row>
    <row r="121" spans="7:15" x14ac:dyDescent="0.2">
      <c r="G121" s="345" t="str">
        <f t="shared" si="6"/>
        <v>NONE:</v>
      </c>
      <c r="H121" s="345">
        <v>98</v>
      </c>
      <c r="I121" s="345" t="str">
        <f>IFERROR(VLOOKUP(G121&amp;H121,$K:$O,5,FALSE),"")</f>
        <v/>
      </c>
      <c r="K121" s="359" t="str">
        <f t="shared" si="5"/>
        <v>Consumables67</v>
      </c>
      <c r="L121" s="359">
        <v>67</v>
      </c>
      <c r="M121" s="359" t="s">
        <v>741</v>
      </c>
      <c r="N121" s="360">
        <v>2</v>
      </c>
      <c r="O121" s="361" t="s">
        <v>779</v>
      </c>
    </row>
    <row r="122" spans="7:15" x14ac:dyDescent="0.2">
      <c r="G122" s="345" t="str">
        <f t="shared" si="6"/>
        <v>NONE:</v>
      </c>
      <c r="H122" s="345">
        <v>99</v>
      </c>
      <c r="I122" s="345" t="str">
        <f>IFERROR(VLOOKUP(G122&amp;H122,$K:$O,5,FALSE),"")</f>
        <v/>
      </c>
      <c r="K122" s="359" t="str">
        <f t="shared" si="5"/>
        <v>Consumables68</v>
      </c>
      <c r="L122" s="359">
        <v>68</v>
      </c>
      <c r="M122" s="359" t="s">
        <v>741</v>
      </c>
      <c r="N122" s="360">
        <v>2</v>
      </c>
      <c r="O122" s="361" t="s">
        <v>889</v>
      </c>
    </row>
    <row r="123" spans="7:15" x14ac:dyDescent="0.2">
      <c r="G123" s="345" t="str">
        <f t="shared" si="6"/>
        <v>NONE:</v>
      </c>
      <c r="H123" s="345">
        <v>100</v>
      </c>
      <c r="I123" s="345" t="str">
        <f>IFERROR(VLOOKUP(G123&amp;H123,$K:$O,5,FALSE),"")</f>
        <v/>
      </c>
      <c r="K123" s="359" t="str">
        <f t="shared" si="5"/>
        <v>Consumables69</v>
      </c>
      <c r="L123" s="359">
        <v>69</v>
      </c>
      <c r="M123" s="359" t="s">
        <v>741</v>
      </c>
      <c r="N123" s="360">
        <v>2</v>
      </c>
      <c r="O123" s="361" t="s">
        <v>830</v>
      </c>
    </row>
    <row r="124" spans="7:15" x14ac:dyDescent="0.2">
      <c r="G124" s="345" t="str">
        <f t="shared" si="6"/>
        <v>NONE:</v>
      </c>
      <c r="H124" s="345">
        <v>101</v>
      </c>
      <c r="I124" s="345" t="str">
        <f>IFERROR(VLOOKUP(G124&amp;H124,$K:$O,5,FALSE),"")</f>
        <v/>
      </c>
      <c r="K124" s="359" t="str">
        <f t="shared" si="5"/>
        <v>Consumables70</v>
      </c>
      <c r="L124" s="359">
        <v>70</v>
      </c>
      <c r="M124" s="359" t="s">
        <v>741</v>
      </c>
      <c r="N124" s="360">
        <v>2</v>
      </c>
      <c r="O124" s="361" t="s">
        <v>852</v>
      </c>
    </row>
    <row r="125" spans="7:15" x14ac:dyDescent="0.2">
      <c r="G125" s="345" t="str">
        <f t="shared" si="6"/>
        <v>NONE:</v>
      </c>
      <c r="H125" s="345">
        <v>102</v>
      </c>
      <c r="I125" s="345" t="str">
        <f>IFERROR(VLOOKUP(G125&amp;H125,$K:$O,5,FALSE),"")</f>
        <v/>
      </c>
      <c r="K125" s="359" t="str">
        <f t="shared" si="5"/>
        <v>Consumables71</v>
      </c>
      <c r="L125" s="359">
        <v>71</v>
      </c>
      <c r="M125" s="359" t="s">
        <v>741</v>
      </c>
      <c r="N125" s="360">
        <v>2</v>
      </c>
      <c r="O125" s="361" t="s">
        <v>765</v>
      </c>
    </row>
    <row r="126" spans="7:15" x14ac:dyDescent="0.2">
      <c r="G126" s="345" t="str">
        <f t="shared" si="6"/>
        <v>NONE:</v>
      </c>
      <c r="H126" s="345">
        <v>103</v>
      </c>
      <c r="I126" s="345" t="str">
        <f>IFERROR(VLOOKUP(G126&amp;H126,$K:$O,5,FALSE),"")</f>
        <v/>
      </c>
      <c r="K126" s="359" t="str">
        <f t="shared" si="5"/>
        <v>Consumables72</v>
      </c>
      <c r="L126" s="359">
        <v>72</v>
      </c>
      <c r="M126" s="359" t="s">
        <v>741</v>
      </c>
      <c r="N126" s="360">
        <v>2</v>
      </c>
      <c r="O126" s="361" t="s">
        <v>877</v>
      </c>
    </row>
    <row r="127" spans="7:15" x14ac:dyDescent="0.2">
      <c r="G127" s="345" t="str">
        <f t="shared" si="6"/>
        <v>NONE:</v>
      </c>
      <c r="H127" s="345">
        <v>104</v>
      </c>
      <c r="I127" s="345" t="str">
        <f>IFERROR(VLOOKUP(G127&amp;H127,$K:$O,5,FALSE),"")</f>
        <v/>
      </c>
      <c r="K127" s="359" t="str">
        <f t="shared" si="5"/>
        <v>Consumables73</v>
      </c>
      <c r="L127" s="359">
        <v>73</v>
      </c>
      <c r="M127" s="359" t="s">
        <v>741</v>
      </c>
      <c r="N127" s="360">
        <v>2</v>
      </c>
      <c r="O127" s="361" t="s">
        <v>773</v>
      </c>
    </row>
    <row r="128" spans="7:15" x14ac:dyDescent="0.2">
      <c r="G128" s="345" t="str">
        <f t="shared" si="6"/>
        <v>NONE:</v>
      </c>
      <c r="H128" s="345">
        <v>105</v>
      </c>
      <c r="I128" s="345" t="str">
        <f>IFERROR(VLOOKUP(G128&amp;H128,$K:$O,5,FALSE),"")</f>
        <v/>
      </c>
      <c r="K128" s="359" t="str">
        <f t="shared" si="5"/>
        <v>Consumables74</v>
      </c>
      <c r="L128" s="359">
        <v>74</v>
      </c>
      <c r="M128" s="359" t="s">
        <v>741</v>
      </c>
      <c r="N128" s="360">
        <v>2</v>
      </c>
      <c r="O128" s="361" t="s">
        <v>791</v>
      </c>
    </row>
    <row r="129" spans="7:15" x14ac:dyDescent="0.2">
      <c r="G129" s="345" t="str">
        <f t="shared" si="6"/>
        <v>NONE:</v>
      </c>
      <c r="H129" s="345">
        <v>106</v>
      </c>
      <c r="I129" s="345" t="str">
        <f>IFERROR(VLOOKUP(G129&amp;H129,$K:$O,5,FALSE),"")</f>
        <v/>
      </c>
      <c r="K129" s="359" t="str">
        <f t="shared" si="5"/>
        <v>Consumables75</v>
      </c>
      <c r="L129" s="359">
        <v>75</v>
      </c>
      <c r="M129" s="359" t="s">
        <v>741</v>
      </c>
      <c r="N129" s="360">
        <v>2</v>
      </c>
      <c r="O129" s="361" t="s">
        <v>884</v>
      </c>
    </row>
    <row r="130" spans="7:15" x14ac:dyDescent="0.2">
      <c r="G130" s="345" t="str">
        <f t="shared" si="6"/>
        <v>NONE:</v>
      </c>
      <c r="H130" s="345">
        <v>107</v>
      </c>
      <c r="I130" s="345" t="str">
        <f>IFERROR(VLOOKUP(G130&amp;H130,$K:$O,5,FALSE),"")</f>
        <v/>
      </c>
      <c r="K130" s="359" t="str">
        <f t="shared" si="5"/>
        <v>Consumables76</v>
      </c>
      <c r="L130" s="359">
        <v>76</v>
      </c>
      <c r="M130" s="359" t="s">
        <v>741</v>
      </c>
      <c r="N130" s="360">
        <v>2</v>
      </c>
      <c r="O130" s="361" t="s">
        <v>816</v>
      </c>
    </row>
    <row r="131" spans="7:15" x14ac:dyDescent="0.2">
      <c r="G131" s="345" t="str">
        <f t="shared" si="6"/>
        <v>NONE:</v>
      </c>
      <c r="H131" s="345">
        <v>108</v>
      </c>
      <c r="I131" s="345" t="str">
        <f>IFERROR(VLOOKUP(G131&amp;H131,$K:$O,5,FALSE),"")</f>
        <v/>
      </c>
      <c r="K131" s="359" t="str">
        <f t="shared" si="5"/>
        <v>Consumables77</v>
      </c>
      <c r="L131" s="359">
        <v>77</v>
      </c>
      <c r="M131" s="359" t="s">
        <v>741</v>
      </c>
      <c r="N131" s="360">
        <v>2</v>
      </c>
      <c r="O131" s="361" t="s">
        <v>775</v>
      </c>
    </row>
    <row r="132" spans="7:15" x14ac:dyDescent="0.2">
      <c r="G132" s="345" t="str">
        <f t="shared" si="6"/>
        <v>NONE:</v>
      </c>
      <c r="H132" s="345">
        <v>109</v>
      </c>
      <c r="I132" s="345" t="str">
        <f>IFERROR(VLOOKUP(G132&amp;H132,$K:$O,5,FALSE),"")</f>
        <v/>
      </c>
      <c r="K132" s="359" t="str">
        <f t="shared" si="5"/>
        <v>Consumables78</v>
      </c>
      <c r="L132" s="359">
        <v>78</v>
      </c>
      <c r="M132" s="359" t="s">
        <v>741</v>
      </c>
      <c r="N132" s="360">
        <v>2</v>
      </c>
      <c r="O132" s="361" t="s">
        <v>866</v>
      </c>
    </row>
    <row r="133" spans="7:15" x14ac:dyDescent="0.2">
      <c r="G133" s="345" t="str">
        <f t="shared" si="6"/>
        <v>NONE:</v>
      </c>
      <c r="H133" s="345">
        <v>110</v>
      </c>
      <c r="I133" s="345" t="str">
        <f>IFERROR(VLOOKUP(G133&amp;H133,$K:$O,5,FALSE),"")</f>
        <v/>
      </c>
      <c r="K133" s="359" t="str">
        <f t="shared" si="5"/>
        <v>Consumables79</v>
      </c>
      <c r="L133" s="359">
        <v>79</v>
      </c>
      <c r="M133" s="359" t="s">
        <v>741</v>
      </c>
      <c r="N133" s="360">
        <v>2</v>
      </c>
      <c r="O133" s="361" t="s">
        <v>844</v>
      </c>
    </row>
    <row r="134" spans="7:15" x14ac:dyDescent="0.2">
      <c r="G134" s="345" t="str">
        <f t="shared" si="6"/>
        <v>NONE:</v>
      </c>
      <c r="H134" s="345">
        <v>111</v>
      </c>
      <c r="I134" s="345" t="str">
        <f>IFERROR(VLOOKUP(G134&amp;H134,$K:$O,5,FALSE),"")</f>
        <v/>
      </c>
      <c r="K134" s="359" t="str">
        <f t="shared" si="5"/>
        <v>Consumables80</v>
      </c>
      <c r="L134" s="359">
        <v>80</v>
      </c>
      <c r="M134" s="359" t="s">
        <v>741</v>
      </c>
      <c r="N134" s="360">
        <v>2</v>
      </c>
      <c r="O134" s="361" t="s">
        <v>812</v>
      </c>
    </row>
    <row r="135" spans="7:15" x14ac:dyDescent="0.2">
      <c r="G135" s="345" t="str">
        <f t="shared" si="6"/>
        <v>NONE:</v>
      </c>
      <c r="H135" s="345">
        <v>112</v>
      </c>
      <c r="I135" s="345" t="str">
        <f>IFERROR(VLOOKUP(G135&amp;H135,$K:$O,5,FALSE),"")</f>
        <v/>
      </c>
      <c r="K135" s="359" t="str">
        <f t="shared" si="5"/>
        <v>Consumables81</v>
      </c>
      <c r="L135" s="359">
        <v>81</v>
      </c>
      <c r="M135" s="359" t="s">
        <v>741</v>
      </c>
      <c r="N135" s="360">
        <v>2</v>
      </c>
      <c r="O135" s="361" t="s">
        <v>768</v>
      </c>
    </row>
    <row r="136" spans="7:15" x14ac:dyDescent="0.2">
      <c r="G136" s="345" t="str">
        <f t="shared" si="6"/>
        <v>NONE:</v>
      </c>
      <c r="H136" s="345">
        <v>113</v>
      </c>
      <c r="I136" s="345" t="str">
        <f>IFERROR(VLOOKUP(G136&amp;H136,$K:$O,5,FALSE),"")</f>
        <v/>
      </c>
      <c r="K136" s="359" t="str">
        <f t="shared" si="5"/>
        <v>Consumables82</v>
      </c>
      <c r="L136" s="359">
        <v>82</v>
      </c>
      <c r="M136" s="359" t="s">
        <v>741</v>
      </c>
      <c r="N136" s="360">
        <v>2</v>
      </c>
      <c r="O136" s="361" t="s">
        <v>874</v>
      </c>
    </row>
    <row r="137" spans="7:15" x14ac:dyDescent="0.2">
      <c r="G137" s="345" t="str">
        <f t="shared" si="6"/>
        <v>NONE:</v>
      </c>
      <c r="H137" s="345">
        <v>114</v>
      </c>
      <c r="I137" s="345" t="str">
        <f>IFERROR(VLOOKUP(G137&amp;H137,$K:$O,5,FALSE),"")</f>
        <v/>
      </c>
      <c r="K137" s="359" t="str">
        <f t="shared" si="5"/>
        <v>Consumables83</v>
      </c>
      <c r="L137" s="359">
        <v>83</v>
      </c>
      <c r="M137" s="359" t="s">
        <v>741</v>
      </c>
      <c r="N137" s="360">
        <v>2</v>
      </c>
      <c r="O137" s="361" t="s">
        <v>802</v>
      </c>
    </row>
    <row r="138" spans="7:15" x14ac:dyDescent="0.2">
      <c r="G138" s="345" t="str">
        <f t="shared" si="6"/>
        <v>NONE:</v>
      </c>
      <c r="H138" s="345">
        <v>115</v>
      </c>
      <c r="I138" s="345" t="str">
        <f>IFERROR(VLOOKUP(G138&amp;H138,$K:$O,5,FALSE),"")</f>
        <v/>
      </c>
      <c r="K138" s="359" t="str">
        <f t="shared" si="5"/>
        <v>Consumables84</v>
      </c>
      <c r="L138" s="359">
        <v>84</v>
      </c>
      <c r="M138" s="359" t="s">
        <v>741</v>
      </c>
      <c r="N138" s="360">
        <v>2</v>
      </c>
      <c r="O138" s="361" t="s">
        <v>860</v>
      </c>
    </row>
    <row r="139" spans="7:15" x14ac:dyDescent="0.2">
      <c r="G139" s="345" t="str">
        <f t="shared" si="6"/>
        <v>NONE:</v>
      </c>
      <c r="H139" s="345">
        <v>116</v>
      </c>
      <c r="I139" s="345" t="str">
        <f>IFERROR(VLOOKUP(G139&amp;H139,$K:$O,5,FALSE),"")</f>
        <v/>
      </c>
      <c r="K139" s="359" t="str">
        <f t="shared" si="5"/>
        <v>Consumables85</v>
      </c>
      <c r="L139" s="359">
        <v>85</v>
      </c>
      <c r="M139" s="359" t="s">
        <v>741</v>
      </c>
      <c r="N139" s="360">
        <v>2</v>
      </c>
      <c r="O139" s="361" t="s">
        <v>792</v>
      </c>
    </row>
    <row r="140" spans="7:15" x14ac:dyDescent="0.2">
      <c r="G140" s="345" t="str">
        <f t="shared" si="6"/>
        <v>NONE:</v>
      </c>
      <c r="H140" s="345">
        <v>117</v>
      </c>
      <c r="I140" s="345" t="str">
        <f>IFERROR(VLOOKUP(G140&amp;H140,$K:$O,5,FALSE),"")</f>
        <v/>
      </c>
      <c r="K140" s="359" t="str">
        <f t="shared" si="5"/>
        <v>Consumables86</v>
      </c>
      <c r="L140" s="359">
        <v>86</v>
      </c>
      <c r="M140" s="359" t="s">
        <v>741</v>
      </c>
      <c r="N140" s="360">
        <v>2</v>
      </c>
      <c r="O140" s="361" t="s">
        <v>784</v>
      </c>
    </row>
    <row r="141" spans="7:15" x14ac:dyDescent="0.2">
      <c r="G141" s="345" t="str">
        <f t="shared" si="6"/>
        <v>NONE:</v>
      </c>
      <c r="H141" s="345">
        <v>118</v>
      </c>
      <c r="I141" s="345" t="str">
        <f>IFERROR(VLOOKUP(G141&amp;H141,$K:$O,5,FALSE),"")</f>
        <v/>
      </c>
      <c r="K141" s="359" t="str">
        <f t="shared" si="5"/>
        <v>Consumables87</v>
      </c>
      <c r="L141" s="359">
        <v>87</v>
      </c>
      <c r="M141" s="359" t="s">
        <v>741</v>
      </c>
      <c r="N141" s="360">
        <v>2</v>
      </c>
      <c r="O141" s="361" t="s">
        <v>831</v>
      </c>
    </row>
    <row r="142" spans="7:15" x14ac:dyDescent="0.2">
      <c r="G142" s="345" t="str">
        <f t="shared" si="6"/>
        <v>NONE:</v>
      </c>
      <c r="H142" s="345">
        <v>119</v>
      </c>
      <c r="I142" s="345" t="str">
        <f>IFERROR(VLOOKUP(G142&amp;H142,$K:$O,5,FALSE),"")</f>
        <v/>
      </c>
      <c r="K142" s="359" t="str">
        <f t="shared" si="5"/>
        <v>Consumables88</v>
      </c>
      <c r="L142" s="359">
        <v>88</v>
      </c>
      <c r="M142" s="359" t="s">
        <v>741</v>
      </c>
      <c r="N142" s="360">
        <v>2</v>
      </c>
      <c r="O142" s="361" t="s">
        <v>770</v>
      </c>
    </row>
    <row r="143" spans="7:15" x14ac:dyDescent="0.2">
      <c r="G143" s="345" t="str">
        <f t="shared" si="6"/>
        <v>NONE:</v>
      </c>
      <c r="H143" s="345">
        <v>120</v>
      </c>
      <c r="I143" s="345" t="str">
        <f>IFERROR(VLOOKUP(G143&amp;H143,$K:$O,5,FALSE),"")</f>
        <v/>
      </c>
      <c r="K143" s="359" t="str">
        <f t="shared" si="5"/>
        <v>Consumables89</v>
      </c>
      <c r="L143" s="359">
        <v>89</v>
      </c>
      <c r="M143" s="359" t="s">
        <v>741</v>
      </c>
      <c r="N143" s="360">
        <v>2</v>
      </c>
      <c r="O143" s="361" t="s">
        <v>869</v>
      </c>
    </row>
    <row r="144" spans="7:15" x14ac:dyDescent="0.2">
      <c r="G144" s="345" t="str">
        <f t="shared" si="6"/>
        <v>NONE:</v>
      </c>
      <c r="H144" s="345">
        <v>121</v>
      </c>
      <c r="I144" s="345" t="str">
        <f>IFERROR(VLOOKUP(G144&amp;H144,$K:$O,5,FALSE),"")</f>
        <v/>
      </c>
      <c r="K144" s="359" t="str">
        <f t="shared" si="5"/>
        <v>Consumables90</v>
      </c>
      <c r="L144" s="359">
        <v>90</v>
      </c>
      <c r="M144" s="359" t="s">
        <v>741</v>
      </c>
      <c r="N144" s="360">
        <v>2</v>
      </c>
      <c r="O144" s="361" t="s">
        <v>861</v>
      </c>
    </row>
    <row r="145" spans="7:15" x14ac:dyDescent="0.2">
      <c r="G145" s="345" t="str">
        <f t="shared" si="6"/>
        <v>NONE:</v>
      </c>
      <c r="H145" s="345">
        <v>122</v>
      </c>
      <c r="I145" s="345" t="str">
        <f>IFERROR(VLOOKUP(G145&amp;H145,$K:$O,5,FALSE),"")</f>
        <v/>
      </c>
      <c r="K145" s="359" t="str">
        <f t="shared" si="5"/>
        <v>Consumables91</v>
      </c>
      <c r="L145" s="359">
        <v>91</v>
      </c>
      <c r="M145" s="359" t="s">
        <v>741</v>
      </c>
      <c r="N145" s="360">
        <v>2</v>
      </c>
      <c r="O145" s="361" t="s">
        <v>871</v>
      </c>
    </row>
    <row r="146" spans="7:15" x14ac:dyDescent="0.2">
      <c r="G146" s="345" t="str">
        <f t="shared" si="6"/>
        <v>NONE:</v>
      </c>
      <c r="H146" s="345">
        <v>123</v>
      </c>
      <c r="I146" s="345" t="str">
        <f>IFERROR(VLOOKUP(G146&amp;H146,$K:$O,5,FALSE),"")</f>
        <v/>
      </c>
      <c r="K146" s="359" t="str">
        <f t="shared" si="5"/>
        <v>Consumables92</v>
      </c>
      <c r="L146" s="359">
        <v>92</v>
      </c>
      <c r="M146" s="359" t="s">
        <v>741</v>
      </c>
      <c r="N146" s="360">
        <v>2</v>
      </c>
      <c r="O146" s="361" t="s">
        <v>786</v>
      </c>
    </row>
    <row r="147" spans="7:15" x14ac:dyDescent="0.2">
      <c r="G147" s="345" t="str">
        <f t="shared" si="6"/>
        <v>NONE:</v>
      </c>
      <c r="H147" s="345">
        <v>124</v>
      </c>
      <c r="I147" s="345" t="str">
        <f>IFERROR(VLOOKUP(G147&amp;H147,$K:$O,5,FALSE),"")</f>
        <v/>
      </c>
      <c r="K147" s="359" t="str">
        <f t="shared" si="5"/>
        <v>Consumables93</v>
      </c>
      <c r="L147" s="359">
        <v>93</v>
      </c>
      <c r="M147" s="359" t="s">
        <v>741</v>
      </c>
      <c r="N147" s="360">
        <v>2</v>
      </c>
      <c r="O147" s="361" t="s">
        <v>873</v>
      </c>
    </row>
    <row r="148" spans="7:15" x14ac:dyDescent="0.2">
      <c r="G148" s="345" t="str">
        <f t="shared" si="6"/>
        <v>NONE:</v>
      </c>
      <c r="H148" s="345">
        <v>125</v>
      </c>
      <c r="I148" s="345" t="str">
        <f>IFERROR(VLOOKUP(G148&amp;H148,$K:$O,5,FALSE),"")</f>
        <v/>
      </c>
      <c r="K148" s="359" t="str">
        <f t="shared" si="5"/>
        <v>Consumables94</v>
      </c>
      <c r="L148" s="359">
        <v>94</v>
      </c>
      <c r="M148" s="359" t="s">
        <v>741</v>
      </c>
      <c r="N148" s="360">
        <v>2</v>
      </c>
      <c r="O148" s="361" t="s">
        <v>800</v>
      </c>
    </row>
    <row r="149" spans="7:15" x14ac:dyDescent="0.2">
      <c r="G149" s="345" t="str">
        <f t="shared" si="6"/>
        <v>NONE:</v>
      </c>
      <c r="H149" s="345">
        <v>126</v>
      </c>
      <c r="I149" s="345" t="str">
        <f>IFERROR(VLOOKUP(G149&amp;H149,$K:$O,5,FALSE),"")</f>
        <v/>
      </c>
      <c r="K149" s="359" t="str">
        <f t="shared" si="5"/>
        <v>Consumables95</v>
      </c>
      <c r="L149" s="359">
        <v>95</v>
      </c>
      <c r="M149" s="359" t="s">
        <v>741</v>
      </c>
      <c r="N149" s="360">
        <v>2</v>
      </c>
      <c r="O149" s="361" t="s">
        <v>887</v>
      </c>
    </row>
    <row r="150" spans="7:15" x14ac:dyDescent="0.2">
      <c r="G150" s="345" t="str">
        <f t="shared" si="6"/>
        <v>NONE:</v>
      </c>
      <c r="H150" s="345">
        <v>127</v>
      </c>
      <c r="I150" s="345" t="str">
        <f>IFERROR(VLOOKUP(G150&amp;H150,$K:$O,5,FALSE),"")</f>
        <v/>
      </c>
      <c r="K150" s="359" t="str">
        <f t="shared" si="5"/>
        <v>Consumables96</v>
      </c>
      <c r="L150" s="359">
        <v>96</v>
      </c>
      <c r="M150" s="359" t="s">
        <v>741</v>
      </c>
      <c r="N150" s="360">
        <v>2</v>
      </c>
      <c r="O150" s="361" t="s">
        <v>799</v>
      </c>
    </row>
    <row r="151" spans="7:15" x14ac:dyDescent="0.2">
      <c r="G151" s="345" t="str">
        <f t="shared" si="6"/>
        <v>NONE:</v>
      </c>
      <c r="H151" s="345">
        <v>128</v>
      </c>
      <c r="I151" s="345" t="str">
        <f>IFERROR(VLOOKUP(G151&amp;H151,$K:$O,5,FALSE),"")</f>
        <v/>
      </c>
      <c r="K151" s="359" t="str">
        <f t="shared" si="5"/>
        <v>Consumables97</v>
      </c>
      <c r="L151" s="359">
        <v>97</v>
      </c>
      <c r="M151" s="359" t="s">
        <v>741</v>
      </c>
      <c r="N151" s="360">
        <v>2</v>
      </c>
      <c r="O151" s="361" t="s">
        <v>806</v>
      </c>
    </row>
    <row r="152" spans="7:15" x14ac:dyDescent="0.2">
      <c r="G152" s="345" t="str">
        <f t="shared" ref="G152:G157" si="7">$B$8</f>
        <v>NONE:</v>
      </c>
      <c r="H152" s="345">
        <v>129</v>
      </c>
      <c r="I152" s="345" t="str">
        <f>IFERROR(VLOOKUP(G152&amp;H152,$K:$O,5,FALSE),"")</f>
        <v/>
      </c>
      <c r="K152" s="359" t="str">
        <f t="shared" si="5"/>
        <v>Consumables98</v>
      </c>
      <c r="L152" s="359">
        <v>98</v>
      </c>
      <c r="M152" s="359" t="s">
        <v>741</v>
      </c>
      <c r="N152" s="360">
        <v>2</v>
      </c>
      <c r="O152" s="361" t="s">
        <v>842</v>
      </c>
    </row>
    <row r="153" spans="7:15" x14ac:dyDescent="0.2">
      <c r="G153" s="345" t="str">
        <f t="shared" si="7"/>
        <v>NONE:</v>
      </c>
      <c r="H153" s="345">
        <v>130</v>
      </c>
      <c r="I153" s="345" t="str">
        <f>IFERROR(VLOOKUP(G153&amp;H153,$K:$O,5,FALSE),"")</f>
        <v/>
      </c>
      <c r="K153" s="359" t="str">
        <f t="shared" si="5"/>
        <v>Consumables99</v>
      </c>
      <c r="L153" s="359">
        <v>99</v>
      </c>
      <c r="M153" s="359" t="s">
        <v>741</v>
      </c>
      <c r="N153" s="360">
        <v>2</v>
      </c>
      <c r="O153" s="361" t="s">
        <v>819</v>
      </c>
    </row>
    <row r="154" spans="7:15" x14ac:dyDescent="0.2">
      <c r="G154" s="345" t="str">
        <f t="shared" si="7"/>
        <v>NONE:</v>
      </c>
      <c r="H154" s="345">
        <v>131</v>
      </c>
      <c r="I154" s="345" t="str">
        <f>IFERROR(VLOOKUP(G154&amp;H154,$K:$O,5,FALSE),"")</f>
        <v/>
      </c>
      <c r="K154" s="359" t="str">
        <f t="shared" si="5"/>
        <v>Consumables100</v>
      </c>
      <c r="L154" s="359">
        <v>100</v>
      </c>
      <c r="M154" s="359" t="s">
        <v>741</v>
      </c>
      <c r="N154" s="360">
        <v>2</v>
      </c>
      <c r="O154" s="361" t="s">
        <v>821</v>
      </c>
    </row>
    <row r="155" spans="7:15" x14ac:dyDescent="0.2">
      <c r="G155" s="345" t="str">
        <f t="shared" si="7"/>
        <v>NONE:</v>
      </c>
      <c r="H155" s="345">
        <v>132</v>
      </c>
      <c r="I155" s="345" t="str">
        <f>IFERROR(VLOOKUP(G155&amp;H155,$K:$O,5,FALSE),"")</f>
        <v/>
      </c>
      <c r="K155" s="359" t="str">
        <f t="shared" si="5"/>
        <v>Consumables101</v>
      </c>
      <c r="L155" s="359">
        <v>101</v>
      </c>
      <c r="M155" s="359" t="s">
        <v>741</v>
      </c>
      <c r="N155" s="360">
        <v>2</v>
      </c>
      <c r="O155" s="361" t="s">
        <v>849</v>
      </c>
    </row>
    <row r="156" spans="7:15" x14ac:dyDescent="0.2">
      <c r="G156" s="345" t="str">
        <f t="shared" si="7"/>
        <v>NONE:</v>
      </c>
      <c r="H156" s="345">
        <v>133</v>
      </c>
      <c r="I156" s="345" t="str">
        <f>IFERROR(VLOOKUP(G156&amp;H156,$K:$O,5,FALSE),"")</f>
        <v/>
      </c>
      <c r="K156" s="359" t="str">
        <f t="shared" si="5"/>
        <v>Consumables102</v>
      </c>
      <c r="L156" s="359">
        <v>102</v>
      </c>
      <c r="M156" s="359" t="s">
        <v>741</v>
      </c>
      <c r="N156" s="360">
        <v>2</v>
      </c>
      <c r="O156" s="361" t="s">
        <v>817</v>
      </c>
    </row>
    <row r="157" spans="7:15" x14ac:dyDescent="0.2">
      <c r="G157" s="345" t="str">
        <f t="shared" si="7"/>
        <v>NONE:</v>
      </c>
      <c r="H157" s="345">
        <v>134</v>
      </c>
      <c r="I157" s="345" t="str">
        <f>IFERROR(VLOOKUP(G157&amp;H157,$K:$O,5,FALSE),"")</f>
        <v/>
      </c>
      <c r="K157" s="359" t="str">
        <f t="shared" si="5"/>
        <v>Consumables103</v>
      </c>
      <c r="L157" s="359">
        <v>103</v>
      </c>
      <c r="M157" s="359" t="s">
        <v>741</v>
      </c>
      <c r="N157" s="360">
        <v>2</v>
      </c>
      <c r="O157" s="361" t="s">
        <v>809</v>
      </c>
    </row>
    <row r="158" spans="7:15" x14ac:dyDescent="0.2">
      <c r="K158" s="359" t="str">
        <f t="shared" si="5"/>
        <v>Consumables104</v>
      </c>
      <c r="L158" s="359">
        <v>104</v>
      </c>
      <c r="M158" s="359" t="s">
        <v>741</v>
      </c>
      <c r="N158" s="360">
        <v>2</v>
      </c>
      <c r="O158" s="361" t="s">
        <v>780</v>
      </c>
    </row>
    <row r="159" spans="7:15" x14ac:dyDescent="0.2">
      <c r="K159" s="359" t="str">
        <f t="shared" si="5"/>
        <v>Consumables105</v>
      </c>
      <c r="L159" s="359">
        <v>105</v>
      </c>
      <c r="M159" s="359" t="s">
        <v>741</v>
      </c>
      <c r="N159" s="360">
        <v>2</v>
      </c>
      <c r="O159" s="361" t="s">
        <v>820</v>
      </c>
    </row>
    <row r="160" spans="7:15" x14ac:dyDescent="0.2">
      <c r="K160" s="359" t="str">
        <f t="shared" ref="K160:K189" si="8">M160&amp;L160</f>
        <v>Consumables106</v>
      </c>
      <c r="L160" s="359">
        <v>106</v>
      </c>
      <c r="M160" s="359" t="s">
        <v>741</v>
      </c>
      <c r="N160" s="360">
        <v>2</v>
      </c>
      <c r="O160" s="361" t="s">
        <v>823</v>
      </c>
    </row>
    <row r="161" spans="11:15" x14ac:dyDescent="0.2">
      <c r="K161" s="359" t="str">
        <f t="shared" si="8"/>
        <v>Consumables107</v>
      </c>
      <c r="L161" s="359">
        <v>107</v>
      </c>
      <c r="M161" s="359" t="s">
        <v>741</v>
      </c>
      <c r="N161" s="360">
        <v>2</v>
      </c>
      <c r="O161" s="361" t="s">
        <v>813</v>
      </c>
    </row>
    <row r="162" spans="11:15" x14ac:dyDescent="0.2">
      <c r="K162" s="359" t="str">
        <f t="shared" si="8"/>
        <v>Consumables108</v>
      </c>
      <c r="L162" s="359">
        <v>108</v>
      </c>
      <c r="M162" s="359" t="s">
        <v>741</v>
      </c>
      <c r="N162" s="360">
        <v>2</v>
      </c>
      <c r="O162" s="361" t="s">
        <v>798</v>
      </c>
    </row>
    <row r="163" spans="11:15" x14ac:dyDescent="0.2">
      <c r="K163" s="359" t="str">
        <f t="shared" si="8"/>
        <v>Consumables109</v>
      </c>
      <c r="L163" s="359">
        <v>109</v>
      </c>
      <c r="M163" s="359" t="s">
        <v>741</v>
      </c>
      <c r="N163" s="360">
        <v>2</v>
      </c>
      <c r="O163" s="361" t="s">
        <v>841</v>
      </c>
    </row>
    <row r="164" spans="11:15" x14ac:dyDescent="0.2">
      <c r="K164" s="359" t="str">
        <f t="shared" si="8"/>
        <v>Consumables110</v>
      </c>
      <c r="L164" s="359">
        <v>110</v>
      </c>
      <c r="M164" s="359" t="s">
        <v>741</v>
      </c>
      <c r="N164" s="360">
        <v>2</v>
      </c>
      <c r="O164" s="361" t="s">
        <v>822</v>
      </c>
    </row>
    <row r="165" spans="11:15" x14ac:dyDescent="0.2">
      <c r="K165" s="359" t="str">
        <f t="shared" si="8"/>
        <v>Consumables111</v>
      </c>
      <c r="L165" s="359">
        <v>111</v>
      </c>
      <c r="M165" s="359" t="s">
        <v>741</v>
      </c>
      <c r="N165" s="360">
        <v>2</v>
      </c>
      <c r="O165" s="361" t="s">
        <v>872</v>
      </c>
    </row>
    <row r="166" spans="11:15" x14ac:dyDescent="0.2">
      <c r="K166" s="359" t="str">
        <f t="shared" si="8"/>
        <v>Consumables112</v>
      </c>
      <c r="L166" s="359">
        <v>112</v>
      </c>
      <c r="M166" s="359" t="s">
        <v>741</v>
      </c>
      <c r="N166" s="360">
        <v>2</v>
      </c>
      <c r="O166" s="361" t="s">
        <v>848</v>
      </c>
    </row>
    <row r="167" spans="11:15" x14ac:dyDescent="0.2">
      <c r="K167" s="359" t="str">
        <f t="shared" si="8"/>
        <v>Consumables113</v>
      </c>
      <c r="L167" s="359">
        <v>113</v>
      </c>
      <c r="M167" s="359" t="s">
        <v>741</v>
      </c>
      <c r="N167" s="360">
        <v>2</v>
      </c>
      <c r="O167" s="361" t="s">
        <v>807</v>
      </c>
    </row>
    <row r="168" spans="11:15" x14ac:dyDescent="0.2">
      <c r="K168" s="359" t="str">
        <f t="shared" si="8"/>
        <v>Consumables114</v>
      </c>
      <c r="L168" s="359">
        <v>114</v>
      </c>
      <c r="M168" s="359" t="s">
        <v>741</v>
      </c>
      <c r="N168" s="360">
        <v>2</v>
      </c>
      <c r="O168" s="361" t="s">
        <v>881</v>
      </c>
    </row>
    <row r="169" spans="11:15" x14ac:dyDescent="0.2">
      <c r="K169" s="359" t="str">
        <f t="shared" si="8"/>
        <v>Consumables115</v>
      </c>
      <c r="L169" s="359">
        <v>115</v>
      </c>
      <c r="M169" s="359" t="s">
        <v>741</v>
      </c>
      <c r="N169" s="360">
        <v>2</v>
      </c>
      <c r="O169" s="361" t="s">
        <v>856</v>
      </c>
    </row>
    <row r="170" spans="11:15" x14ac:dyDescent="0.2">
      <c r="K170" s="359" t="str">
        <f t="shared" si="8"/>
        <v>Consumables116</v>
      </c>
      <c r="L170" s="359">
        <v>116</v>
      </c>
      <c r="M170" s="359" t="s">
        <v>741</v>
      </c>
      <c r="N170" s="360">
        <v>2</v>
      </c>
      <c r="O170" s="361" t="s">
        <v>858</v>
      </c>
    </row>
    <row r="171" spans="11:15" x14ac:dyDescent="0.2">
      <c r="K171" s="359" t="str">
        <f t="shared" si="8"/>
        <v>Consumables117</v>
      </c>
      <c r="L171" s="359">
        <v>117</v>
      </c>
      <c r="M171" s="359" t="s">
        <v>741</v>
      </c>
      <c r="N171" s="360">
        <v>2</v>
      </c>
      <c r="O171" s="361" t="s">
        <v>829</v>
      </c>
    </row>
    <row r="172" spans="11:15" x14ac:dyDescent="0.2">
      <c r="K172" s="359" t="str">
        <f t="shared" si="8"/>
        <v>Consumables118</v>
      </c>
      <c r="L172" s="359">
        <v>118</v>
      </c>
      <c r="M172" s="359" t="s">
        <v>741</v>
      </c>
      <c r="N172" s="360">
        <v>2</v>
      </c>
      <c r="O172" s="361" t="s">
        <v>788</v>
      </c>
    </row>
    <row r="173" spans="11:15" x14ac:dyDescent="0.2">
      <c r="K173" s="359" t="str">
        <f t="shared" si="8"/>
        <v>Consumables119</v>
      </c>
      <c r="L173" s="359">
        <v>119</v>
      </c>
      <c r="M173" s="359" t="s">
        <v>741</v>
      </c>
      <c r="N173" s="360">
        <v>2</v>
      </c>
      <c r="O173" s="361" t="s">
        <v>850</v>
      </c>
    </row>
    <row r="174" spans="11:15" x14ac:dyDescent="0.2">
      <c r="K174" s="359" t="str">
        <f t="shared" si="8"/>
        <v>Consumables120</v>
      </c>
      <c r="L174" s="359">
        <v>120</v>
      </c>
      <c r="M174" s="359" t="s">
        <v>741</v>
      </c>
      <c r="N174" s="360">
        <v>2</v>
      </c>
      <c r="O174" s="361" t="s">
        <v>797</v>
      </c>
    </row>
    <row r="175" spans="11:15" x14ac:dyDescent="0.2">
      <c r="K175" s="359" t="str">
        <f t="shared" si="8"/>
        <v>Consumables121</v>
      </c>
      <c r="L175" s="359">
        <v>121</v>
      </c>
      <c r="M175" s="359" t="s">
        <v>741</v>
      </c>
      <c r="N175" s="360">
        <v>2</v>
      </c>
      <c r="O175" s="361" t="s">
        <v>766</v>
      </c>
    </row>
    <row r="176" spans="11:15" x14ac:dyDescent="0.2">
      <c r="K176" s="359" t="str">
        <f t="shared" si="8"/>
        <v>Consumables122</v>
      </c>
      <c r="L176" s="359">
        <v>122</v>
      </c>
      <c r="M176" s="359" t="s">
        <v>741</v>
      </c>
      <c r="N176" s="360">
        <v>2</v>
      </c>
      <c r="O176" s="361" t="s">
        <v>815</v>
      </c>
    </row>
    <row r="177" spans="11:15" x14ac:dyDescent="0.2">
      <c r="K177" s="359" t="str">
        <f t="shared" si="8"/>
        <v>Consumables123</v>
      </c>
      <c r="L177" s="359">
        <v>123</v>
      </c>
      <c r="M177" s="359" t="s">
        <v>741</v>
      </c>
      <c r="N177" s="360">
        <v>2</v>
      </c>
      <c r="O177" s="361" t="s">
        <v>776</v>
      </c>
    </row>
    <row r="178" spans="11:15" x14ac:dyDescent="0.2">
      <c r="K178" s="359" t="str">
        <f t="shared" si="8"/>
        <v>Consumables124</v>
      </c>
      <c r="L178" s="359">
        <v>124</v>
      </c>
      <c r="M178" s="359" t="s">
        <v>741</v>
      </c>
      <c r="N178" s="360">
        <v>2</v>
      </c>
      <c r="O178" s="361" t="s">
        <v>878</v>
      </c>
    </row>
    <row r="179" spans="11:15" x14ac:dyDescent="0.2">
      <c r="K179" s="359" t="str">
        <f t="shared" si="8"/>
        <v>Consumables125</v>
      </c>
      <c r="L179" s="359">
        <v>125</v>
      </c>
      <c r="M179" s="359" t="s">
        <v>741</v>
      </c>
      <c r="N179" s="360">
        <v>2</v>
      </c>
      <c r="O179" s="361" t="s">
        <v>847</v>
      </c>
    </row>
    <row r="180" spans="11:15" x14ac:dyDescent="0.2">
      <c r="K180" s="359" t="str">
        <f t="shared" si="8"/>
        <v>Consumables126</v>
      </c>
      <c r="L180" s="359">
        <v>126</v>
      </c>
      <c r="M180" s="359" t="s">
        <v>741</v>
      </c>
      <c r="N180" s="360">
        <v>2</v>
      </c>
      <c r="O180" s="361" t="s">
        <v>828</v>
      </c>
    </row>
    <row r="181" spans="11:15" x14ac:dyDescent="0.2">
      <c r="K181" s="359" t="str">
        <f t="shared" si="8"/>
        <v>Consumables127</v>
      </c>
      <c r="L181" s="359">
        <v>127</v>
      </c>
      <c r="M181" s="359" t="s">
        <v>741</v>
      </c>
      <c r="N181" s="360">
        <v>2</v>
      </c>
      <c r="O181" s="361" t="s">
        <v>774</v>
      </c>
    </row>
    <row r="182" spans="11:15" x14ac:dyDescent="0.2">
      <c r="K182" s="359" t="str">
        <f t="shared" si="8"/>
        <v>Consumables128</v>
      </c>
      <c r="L182" s="359">
        <v>128</v>
      </c>
      <c r="M182" s="359" t="s">
        <v>741</v>
      </c>
      <c r="N182" s="360">
        <v>2</v>
      </c>
      <c r="O182" s="361" t="s">
        <v>778</v>
      </c>
    </row>
    <row r="183" spans="11:15" x14ac:dyDescent="0.2">
      <c r="K183" s="359" t="str">
        <f t="shared" si="8"/>
        <v>Consumables129</v>
      </c>
      <c r="L183" s="359">
        <v>129</v>
      </c>
      <c r="M183" s="359" t="s">
        <v>741</v>
      </c>
      <c r="N183" s="360">
        <v>2</v>
      </c>
      <c r="O183" s="361" t="s">
        <v>782</v>
      </c>
    </row>
    <row r="184" spans="11:15" x14ac:dyDescent="0.2">
      <c r="K184" s="359" t="str">
        <f t="shared" si="8"/>
        <v>Consumables130</v>
      </c>
      <c r="L184" s="359">
        <v>130</v>
      </c>
      <c r="M184" s="359" t="s">
        <v>741</v>
      </c>
      <c r="N184" s="360">
        <v>2</v>
      </c>
      <c r="O184" s="361" t="s">
        <v>767</v>
      </c>
    </row>
    <row r="185" spans="11:15" x14ac:dyDescent="0.2">
      <c r="K185" s="359" t="str">
        <f t="shared" si="8"/>
        <v>Consumables131</v>
      </c>
      <c r="L185" s="359">
        <v>131</v>
      </c>
      <c r="M185" s="359" t="s">
        <v>741</v>
      </c>
      <c r="N185" s="360">
        <v>2</v>
      </c>
      <c r="O185" s="361" t="s">
        <v>834</v>
      </c>
    </row>
    <row r="186" spans="11:15" x14ac:dyDescent="0.2">
      <c r="K186" s="359" t="str">
        <f t="shared" si="8"/>
        <v>Consumables132</v>
      </c>
      <c r="L186" s="359">
        <v>132</v>
      </c>
      <c r="M186" s="359" t="s">
        <v>741</v>
      </c>
      <c r="N186" s="360">
        <v>2</v>
      </c>
      <c r="O186" s="361" t="s">
        <v>862</v>
      </c>
    </row>
    <row r="187" spans="11:15" x14ac:dyDescent="0.2">
      <c r="K187" s="359" t="str">
        <f t="shared" si="8"/>
        <v>Consumables133</v>
      </c>
      <c r="L187" s="359">
        <v>133</v>
      </c>
      <c r="M187" s="359" t="s">
        <v>741</v>
      </c>
      <c r="N187" s="360">
        <v>2</v>
      </c>
      <c r="O187" s="361" t="s">
        <v>855</v>
      </c>
    </row>
    <row r="188" spans="11:15" x14ac:dyDescent="0.2">
      <c r="K188" s="362" t="str">
        <f t="shared" si="8"/>
        <v>Consumables134</v>
      </c>
      <c r="L188" s="362">
        <v>134</v>
      </c>
      <c r="M188" s="362" t="s">
        <v>741</v>
      </c>
      <c r="N188" s="363">
        <v>2</v>
      </c>
      <c r="O188" s="358" t="s">
        <v>919</v>
      </c>
    </row>
    <row r="189" spans="11:15" x14ac:dyDescent="0.2">
      <c r="K189" s="586" t="str">
        <f t="shared" si="8"/>
        <v>Seasonal1</v>
      </c>
      <c r="L189" s="586">
        <v>1</v>
      </c>
      <c r="M189" s="586" t="s">
        <v>742</v>
      </c>
      <c r="N189" s="365">
        <v>3</v>
      </c>
      <c r="O189" s="366" t="s">
        <v>1005</v>
      </c>
    </row>
    <row r="190" spans="11:15" x14ac:dyDescent="0.2">
      <c r="K190" s="361" t="str">
        <f>M190&amp;L190</f>
        <v>Seasonal2</v>
      </c>
      <c r="L190" s="361">
        <v>2</v>
      </c>
      <c r="M190" s="361" t="s">
        <v>742</v>
      </c>
      <c r="N190" s="360">
        <v>3</v>
      </c>
      <c r="O190" s="361" t="s">
        <v>895</v>
      </c>
    </row>
    <row r="191" spans="11:15" x14ac:dyDescent="0.2">
      <c r="K191" s="361" t="str">
        <f>M191&amp;L191</f>
        <v>Seasonal3</v>
      </c>
      <c r="L191" s="361">
        <v>3</v>
      </c>
      <c r="M191" s="361" t="s">
        <v>742</v>
      </c>
      <c r="N191" s="360">
        <v>3</v>
      </c>
      <c r="O191" s="361" t="s">
        <v>902</v>
      </c>
    </row>
    <row r="192" spans="11:15" x14ac:dyDescent="0.2">
      <c r="K192" s="361" t="str">
        <f>M192&amp;L192</f>
        <v>Seasonal4</v>
      </c>
      <c r="L192" s="361">
        <v>4</v>
      </c>
      <c r="M192" s="361" t="s">
        <v>742</v>
      </c>
      <c r="N192" s="360">
        <v>3</v>
      </c>
      <c r="O192" s="361" t="s">
        <v>910</v>
      </c>
    </row>
    <row r="193" spans="11:15" x14ac:dyDescent="0.2">
      <c r="K193" s="361" t="str">
        <f>M193&amp;L193</f>
        <v>Seasonal5</v>
      </c>
      <c r="L193" s="361">
        <v>5</v>
      </c>
      <c r="M193" s="361" t="s">
        <v>742</v>
      </c>
      <c r="N193" s="360">
        <v>3</v>
      </c>
      <c r="O193" s="361" t="s">
        <v>890</v>
      </c>
    </row>
    <row r="194" spans="11:15" x14ac:dyDescent="0.2">
      <c r="K194" s="361" t="str">
        <f>M194&amp;L194</f>
        <v>Seasonal6</v>
      </c>
      <c r="L194" s="361">
        <v>6</v>
      </c>
      <c r="M194" s="361" t="s">
        <v>742</v>
      </c>
      <c r="N194" s="360">
        <v>3</v>
      </c>
      <c r="O194" s="361" t="s">
        <v>898</v>
      </c>
    </row>
    <row r="195" spans="11:15" x14ac:dyDescent="0.2">
      <c r="K195" s="361" t="str">
        <f>M195&amp;L195</f>
        <v>Seasonal7</v>
      </c>
      <c r="L195" s="361">
        <v>7</v>
      </c>
      <c r="M195" s="361" t="s">
        <v>742</v>
      </c>
      <c r="N195" s="360">
        <v>3</v>
      </c>
      <c r="O195" s="361" t="s">
        <v>904</v>
      </c>
    </row>
    <row r="196" spans="11:15" x14ac:dyDescent="0.2">
      <c r="K196" s="361" t="str">
        <f>M196&amp;L196</f>
        <v>Seasonal8</v>
      </c>
      <c r="L196" s="361">
        <v>8</v>
      </c>
      <c r="M196" s="361" t="s">
        <v>742</v>
      </c>
      <c r="N196" s="360">
        <v>3</v>
      </c>
      <c r="O196" s="361" t="s">
        <v>905</v>
      </c>
    </row>
    <row r="197" spans="11:15" x14ac:dyDescent="0.2">
      <c r="K197" s="361" t="str">
        <f>M197&amp;L197</f>
        <v>Seasonal9</v>
      </c>
      <c r="L197" s="361">
        <v>9</v>
      </c>
      <c r="M197" s="361" t="s">
        <v>742</v>
      </c>
      <c r="N197" s="360">
        <v>3</v>
      </c>
      <c r="O197" s="361" t="s">
        <v>918</v>
      </c>
    </row>
    <row r="198" spans="11:15" x14ac:dyDescent="0.2">
      <c r="K198" s="361" t="str">
        <f>M198&amp;L198</f>
        <v>Seasonal10</v>
      </c>
      <c r="L198" s="361">
        <v>10</v>
      </c>
      <c r="M198" s="361" t="s">
        <v>742</v>
      </c>
      <c r="N198" s="360">
        <v>3</v>
      </c>
      <c r="O198" s="361" t="s">
        <v>906</v>
      </c>
    </row>
    <row r="199" spans="11:15" x14ac:dyDescent="0.2">
      <c r="K199" s="361" t="str">
        <f>M199&amp;L199</f>
        <v>Seasonal11</v>
      </c>
      <c r="L199" s="361">
        <v>11</v>
      </c>
      <c r="M199" s="361" t="s">
        <v>742</v>
      </c>
      <c r="N199" s="360">
        <v>3</v>
      </c>
      <c r="O199" s="361" t="s">
        <v>891</v>
      </c>
    </row>
    <row r="200" spans="11:15" x14ac:dyDescent="0.2">
      <c r="K200" s="361" t="str">
        <f>M200&amp;L200</f>
        <v>Seasonal12</v>
      </c>
      <c r="L200" s="361">
        <v>12</v>
      </c>
      <c r="M200" s="361" t="s">
        <v>742</v>
      </c>
      <c r="N200" s="360">
        <v>3</v>
      </c>
      <c r="O200" s="361" t="s">
        <v>908</v>
      </c>
    </row>
    <row r="201" spans="11:15" x14ac:dyDescent="0.2">
      <c r="K201" s="361" t="str">
        <f>M201&amp;L201</f>
        <v>Seasonal13</v>
      </c>
      <c r="L201" s="361">
        <v>13</v>
      </c>
      <c r="M201" s="361" t="s">
        <v>742</v>
      </c>
      <c r="N201" s="360">
        <v>3</v>
      </c>
      <c r="O201" s="361" t="s">
        <v>915</v>
      </c>
    </row>
    <row r="202" spans="11:15" x14ac:dyDescent="0.2">
      <c r="K202" s="361" t="str">
        <f>M202&amp;L202</f>
        <v>Seasonal14</v>
      </c>
      <c r="L202" s="361">
        <v>14</v>
      </c>
      <c r="M202" s="361" t="s">
        <v>742</v>
      </c>
      <c r="N202" s="360">
        <v>3</v>
      </c>
      <c r="O202" s="361" t="s">
        <v>764</v>
      </c>
    </row>
    <row r="203" spans="11:15" x14ac:dyDescent="0.2">
      <c r="K203" s="361" t="str">
        <f>M203&amp;L203</f>
        <v>Seasonal15</v>
      </c>
      <c r="L203" s="361">
        <v>15</v>
      </c>
      <c r="M203" s="361" t="s">
        <v>742</v>
      </c>
      <c r="N203" s="360">
        <v>3</v>
      </c>
      <c r="O203" s="361" t="s">
        <v>901</v>
      </c>
    </row>
    <row r="204" spans="11:15" x14ac:dyDescent="0.2">
      <c r="K204" s="361" t="str">
        <f>M204&amp;L204</f>
        <v>Seasonal16</v>
      </c>
      <c r="L204" s="361">
        <v>16</v>
      </c>
      <c r="M204" s="361" t="s">
        <v>742</v>
      </c>
      <c r="N204" s="360">
        <v>3</v>
      </c>
      <c r="O204" s="361" t="s">
        <v>907</v>
      </c>
    </row>
    <row r="205" spans="11:15" x14ac:dyDescent="0.2">
      <c r="K205" s="361" t="str">
        <f>M205&amp;L205</f>
        <v>Seasonal17</v>
      </c>
      <c r="L205" s="361">
        <v>17</v>
      </c>
      <c r="M205" s="361" t="s">
        <v>742</v>
      </c>
      <c r="N205" s="360">
        <v>3</v>
      </c>
      <c r="O205" s="361" t="s">
        <v>911</v>
      </c>
    </row>
    <row r="206" spans="11:15" x14ac:dyDescent="0.2">
      <c r="K206" s="361" t="str">
        <f>M206&amp;L206</f>
        <v>Seasonal18</v>
      </c>
      <c r="L206" s="361">
        <v>18</v>
      </c>
      <c r="M206" s="361" t="s">
        <v>742</v>
      </c>
      <c r="N206" s="360">
        <v>3</v>
      </c>
      <c r="O206" s="361" t="s">
        <v>912</v>
      </c>
    </row>
    <row r="207" spans="11:15" x14ac:dyDescent="0.2">
      <c r="K207" s="361" t="str">
        <f>M207&amp;L207</f>
        <v>Seasonal19</v>
      </c>
      <c r="L207" s="361">
        <v>19</v>
      </c>
      <c r="M207" s="361" t="s">
        <v>742</v>
      </c>
      <c r="N207" s="360">
        <v>3</v>
      </c>
      <c r="O207" s="361" t="s">
        <v>914</v>
      </c>
    </row>
    <row r="208" spans="11:15" x14ac:dyDescent="0.2">
      <c r="K208" s="361" t="str">
        <f>M208&amp;L208</f>
        <v>Seasonal20</v>
      </c>
      <c r="L208" s="361">
        <v>20</v>
      </c>
      <c r="M208" s="361" t="s">
        <v>742</v>
      </c>
      <c r="N208" s="360">
        <v>3</v>
      </c>
      <c r="O208" s="361" t="s">
        <v>903</v>
      </c>
    </row>
    <row r="209" spans="11:15" x14ac:dyDescent="0.2">
      <c r="K209" s="361" t="str">
        <f>M209&amp;L209</f>
        <v>Seasonal21</v>
      </c>
      <c r="L209" s="361">
        <v>21</v>
      </c>
      <c r="M209" s="361" t="s">
        <v>742</v>
      </c>
      <c r="N209" s="360">
        <v>3</v>
      </c>
      <c r="O209" s="361" t="s">
        <v>917</v>
      </c>
    </row>
    <row r="210" spans="11:15" x14ac:dyDescent="0.2">
      <c r="K210" s="361" t="str">
        <f>M210&amp;L210</f>
        <v>Seasonal22</v>
      </c>
      <c r="L210" s="361">
        <v>22</v>
      </c>
      <c r="M210" s="361" t="s">
        <v>742</v>
      </c>
      <c r="N210" s="360">
        <v>3</v>
      </c>
      <c r="O210" s="361" t="s">
        <v>897</v>
      </c>
    </row>
    <row r="211" spans="11:15" x14ac:dyDescent="0.2">
      <c r="K211" s="361" t="str">
        <f>M211&amp;L211</f>
        <v>Seasonal23</v>
      </c>
      <c r="L211" s="361">
        <v>23</v>
      </c>
      <c r="M211" s="361" t="s">
        <v>742</v>
      </c>
      <c r="N211" s="360">
        <v>3</v>
      </c>
      <c r="O211" s="361" t="s">
        <v>892</v>
      </c>
    </row>
    <row r="212" spans="11:15" x14ac:dyDescent="0.2">
      <c r="K212" s="361" t="str">
        <f>M212&amp;L212</f>
        <v>Seasonal24</v>
      </c>
      <c r="L212" s="361">
        <v>24</v>
      </c>
      <c r="M212" s="361" t="s">
        <v>742</v>
      </c>
      <c r="N212" s="360">
        <v>3</v>
      </c>
      <c r="O212" s="361" t="s">
        <v>913</v>
      </c>
    </row>
    <row r="213" spans="11:15" x14ac:dyDescent="0.2">
      <c r="K213" s="361" t="str">
        <f>M213&amp;L213</f>
        <v>Seasonal25</v>
      </c>
      <c r="L213" s="361">
        <v>25</v>
      </c>
      <c r="M213" s="361" t="s">
        <v>742</v>
      </c>
      <c r="N213" s="360">
        <v>3</v>
      </c>
      <c r="O213" s="361" t="s">
        <v>893</v>
      </c>
    </row>
    <row r="214" spans="11:15" x14ac:dyDescent="0.2">
      <c r="K214" s="361" t="str">
        <f>M214&amp;L214</f>
        <v>Seasonal26</v>
      </c>
      <c r="L214" s="361">
        <v>26</v>
      </c>
      <c r="M214" s="361" t="s">
        <v>742</v>
      </c>
      <c r="N214" s="360">
        <v>3</v>
      </c>
      <c r="O214" s="361" t="s">
        <v>916</v>
      </c>
    </row>
    <row r="215" spans="11:15" x14ac:dyDescent="0.2">
      <c r="K215" s="361" t="str">
        <f>M215&amp;L215</f>
        <v>Seasonal27</v>
      </c>
      <c r="L215" s="361">
        <v>27</v>
      </c>
      <c r="M215" s="361" t="s">
        <v>742</v>
      </c>
      <c r="N215" s="360">
        <v>3</v>
      </c>
      <c r="O215" s="361" t="s">
        <v>909</v>
      </c>
    </row>
    <row r="216" spans="11:15" x14ac:dyDescent="0.2">
      <c r="K216" s="361" t="str">
        <f>M216&amp;L216</f>
        <v>Seasonal28</v>
      </c>
      <c r="L216" s="361">
        <v>28</v>
      </c>
      <c r="M216" s="361" t="s">
        <v>742</v>
      </c>
      <c r="N216" s="360">
        <v>3</v>
      </c>
      <c r="O216" s="361" t="s">
        <v>899</v>
      </c>
    </row>
    <row r="217" spans="11:15" x14ac:dyDescent="0.2">
      <c r="K217" s="361" t="str">
        <f>M217&amp;L217</f>
        <v>Seasonal29</v>
      </c>
      <c r="L217" s="361">
        <v>29</v>
      </c>
      <c r="M217" s="361" t="s">
        <v>742</v>
      </c>
      <c r="N217" s="360">
        <v>3</v>
      </c>
      <c r="O217" s="361" t="s">
        <v>894</v>
      </c>
    </row>
    <row r="218" spans="11:15" x14ac:dyDescent="0.2">
      <c r="K218" s="361" t="str">
        <f>M218&amp;L218</f>
        <v>Seasonal30</v>
      </c>
      <c r="L218" s="361">
        <v>30</v>
      </c>
      <c r="M218" s="361" t="s">
        <v>742</v>
      </c>
      <c r="N218" s="360">
        <v>3</v>
      </c>
      <c r="O218" s="361" t="s">
        <v>767</v>
      </c>
    </row>
    <row r="219" spans="11:15" x14ac:dyDescent="0.2">
      <c r="K219" s="361" t="str">
        <f>M219&amp;L219</f>
        <v>Seasonal31</v>
      </c>
      <c r="L219" s="361">
        <v>31</v>
      </c>
      <c r="M219" s="361" t="s">
        <v>742</v>
      </c>
      <c r="N219" s="360">
        <v>3</v>
      </c>
      <c r="O219" s="361" t="s">
        <v>896</v>
      </c>
    </row>
    <row r="220" spans="11:15" x14ac:dyDescent="0.2">
      <c r="K220" s="361" t="str">
        <f>M220&amp;L220</f>
        <v>Seasonal32</v>
      </c>
      <c r="L220" s="361">
        <v>32</v>
      </c>
      <c r="M220" s="361" t="s">
        <v>742</v>
      </c>
      <c r="N220" s="360">
        <v>3</v>
      </c>
      <c r="O220" s="361" t="s">
        <v>900</v>
      </c>
    </row>
    <row r="221" spans="11:15" x14ac:dyDescent="0.2">
      <c r="K221" s="362" t="str">
        <f>M221&amp;L221</f>
        <v>Seasonal33</v>
      </c>
      <c r="L221" s="362">
        <v>33</v>
      </c>
      <c r="M221" s="362" t="s">
        <v>742</v>
      </c>
      <c r="N221" s="363">
        <v>3</v>
      </c>
      <c r="O221" s="358" t="s">
        <v>919</v>
      </c>
    </row>
    <row r="222" spans="11:15" x14ac:dyDescent="0.2">
      <c r="K222" s="586" t="str">
        <f t="shared" ref="K222" si="9">M222&amp;L222</f>
        <v>Soft Home1</v>
      </c>
      <c r="L222" s="586">
        <v>1</v>
      </c>
      <c r="M222" s="586" t="s">
        <v>743</v>
      </c>
      <c r="N222" s="365">
        <v>4</v>
      </c>
      <c r="O222" s="366" t="s">
        <v>1005</v>
      </c>
    </row>
    <row r="223" spans="11:15" x14ac:dyDescent="0.2">
      <c r="K223" s="359" t="str">
        <f>M223&amp;L223</f>
        <v>Soft Home2</v>
      </c>
      <c r="L223" s="359">
        <v>2</v>
      </c>
      <c r="M223" s="359" t="s">
        <v>743</v>
      </c>
      <c r="N223" s="360">
        <v>4</v>
      </c>
      <c r="O223" s="359" t="s">
        <v>929</v>
      </c>
    </row>
    <row r="224" spans="11:15" x14ac:dyDescent="0.2">
      <c r="K224" s="359" t="str">
        <f>M224&amp;L224</f>
        <v>Soft Home3</v>
      </c>
      <c r="L224" s="359">
        <v>3</v>
      </c>
      <c r="M224" s="359" t="s">
        <v>743</v>
      </c>
      <c r="N224" s="360">
        <v>4</v>
      </c>
      <c r="O224" s="359" t="s">
        <v>876</v>
      </c>
    </row>
    <row r="225" spans="11:15" x14ac:dyDescent="0.2">
      <c r="K225" s="359" t="str">
        <f t="shared" ref="K225:K291" si="10">M225&amp;L225</f>
        <v>Soft Home4</v>
      </c>
      <c r="L225" s="359">
        <v>4</v>
      </c>
      <c r="M225" s="359" t="s">
        <v>743</v>
      </c>
      <c r="N225" s="360">
        <v>4</v>
      </c>
      <c r="O225" s="359" t="s">
        <v>760</v>
      </c>
    </row>
    <row r="226" spans="11:15" x14ac:dyDescent="0.2">
      <c r="K226" s="359" t="str">
        <f t="shared" si="10"/>
        <v>Soft Home5</v>
      </c>
      <c r="L226" s="359">
        <v>5</v>
      </c>
      <c r="M226" s="359" t="s">
        <v>743</v>
      </c>
      <c r="N226" s="360">
        <v>4</v>
      </c>
      <c r="O226" s="359" t="s">
        <v>895</v>
      </c>
    </row>
    <row r="227" spans="11:15" x14ac:dyDescent="0.2">
      <c r="K227" s="359" t="str">
        <f t="shared" si="10"/>
        <v>Soft Home6</v>
      </c>
      <c r="L227" s="359">
        <v>6</v>
      </c>
      <c r="M227" s="359" t="s">
        <v>743</v>
      </c>
      <c r="N227" s="360">
        <v>4</v>
      </c>
      <c r="O227" s="359" t="s">
        <v>930</v>
      </c>
    </row>
    <row r="228" spans="11:15" x14ac:dyDescent="0.2">
      <c r="K228" s="359" t="str">
        <f t="shared" si="10"/>
        <v>Soft Home7</v>
      </c>
      <c r="L228" s="359">
        <v>7</v>
      </c>
      <c r="M228" s="359" t="s">
        <v>743</v>
      </c>
      <c r="N228" s="360">
        <v>4</v>
      </c>
      <c r="O228" s="359" t="s">
        <v>928</v>
      </c>
    </row>
    <row r="229" spans="11:15" x14ac:dyDescent="0.2">
      <c r="K229" s="359" t="str">
        <f t="shared" si="10"/>
        <v>Soft Home8</v>
      </c>
      <c r="L229" s="359">
        <v>8</v>
      </c>
      <c r="M229" s="359" t="s">
        <v>743</v>
      </c>
      <c r="N229" s="360">
        <v>4</v>
      </c>
      <c r="O229" s="359" t="s">
        <v>920</v>
      </c>
    </row>
    <row r="230" spans="11:15" x14ac:dyDescent="0.2">
      <c r="K230" s="359" t="str">
        <f t="shared" si="10"/>
        <v>Soft Home9</v>
      </c>
      <c r="L230" s="359">
        <v>9</v>
      </c>
      <c r="M230" s="359" t="s">
        <v>743</v>
      </c>
      <c r="N230" s="360">
        <v>4</v>
      </c>
      <c r="O230" s="359" t="s">
        <v>939</v>
      </c>
    </row>
    <row r="231" spans="11:15" x14ac:dyDescent="0.2">
      <c r="K231" s="359" t="str">
        <f t="shared" si="10"/>
        <v>Soft Home10</v>
      </c>
      <c r="L231" s="359">
        <v>10</v>
      </c>
      <c r="M231" s="359" t="s">
        <v>743</v>
      </c>
      <c r="N231" s="360">
        <v>4</v>
      </c>
      <c r="O231" s="359" t="s">
        <v>764</v>
      </c>
    </row>
    <row r="232" spans="11:15" x14ac:dyDescent="0.2">
      <c r="K232" s="359" t="str">
        <f t="shared" si="10"/>
        <v>Soft Home11</v>
      </c>
      <c r="L232" s="359">
        <v>11</v>
      </c>
      <c r="M232" s="359" t="s">
        <v>743</v>
      </c>
      <c r="N232" s="360">
        <v>4</v>
      </c>
      <c r="O232" s="359" t="s">
        <v>921</v>
      </c>
    </row>
    <row r="233" spans="11:15" x14ac:dyDescent="0.2">
      <c r="K233" s="359" t="str">
        <f t="shared" si="10"/>
        <v>Soft Home12</v>
      </c>
      <c r="L233" s="359">
        <v>12</v>
      </c>
      <c r="M233" s="359" t="s">
        <v>743</v>
      </c>
      <c r="N233" s="360">
        <v>4</v>
      </c>
      <c r="O233" s="359" t="s">
        <v>936</v>
      </c>
    </row>
    <row r="234" spans="11:15" x14ac:dyDescent="0.2">
      <c r="K234" s="359" t="str">
        <f t="shared" si="10"/>
        <v>Soft Home13</v>
      </c>
      <c r="L234" s="359">
        <v>13</v>
      </c>
      <c r="M234" s="359" t="s">
        <v>743</v>
      </c>
      <c r="N234" s="360">
        <v>4</v>
      </c>
      <c r="O234" s="359" t="s">
        <v>938</v>
      </c>
    </row>
    <row r="235" spans="11:15" x14ac:dyDescent="0.2">
      <c r="K235" s="359" t="str">
        <f t="shared" si="10"/>
        <v>Soft Home14</v>
      </c>
      <c r="L235" s="359">
        <v>14</v>
      </c>
      <c r="M235" s="359" t="s">
        <v>743</v>
      </c>
      <c r="N235" s="360">
        <v>4</v>
      </c>
      <c r="O235" s="359" t="s">
        <v>914</v>
      </c>
    </row>
    <row r="236" spans="11:15" x14ac:dyDescent="0.2">
      <c r="K236" s="359" t="str">
        <f t="shared" si="10"/>
        <v>Soft Home15</v>
      </c>
      <c r="L236" s="359">
        <v>15</v>
      </c>
      <c r="M236" s="359" t="s">
        <v>743</v>
      </c>
      <c r="N236" s="360">
        <v>4</v>
      </c>
      <c r="O236" s="359" t="s">
        <v>931</v>
      </c>
    </row>
    <row r="237" spans="11:15" x14ac:dyDescent="0.2">
      <c r="K237" s="359" t="str">
        <f t="shared" si="10"/>
        <v>Soft Home16</v>
      </c>
      <c r="L237" s="359">
        <v>16</v>
      </c>
      <c r="M237" s="359" t="s">
        <v>743</v>
      </c>
      <c r="N237" s="360">
        <v>4</v>
      </c>
      <c r="O237" s="359" t="s">
        <v>765</v>
      </c>
    </row>
    <row r="238" spans="11:15" x14ac:dyDescent="0.2">
      <c r="K238" s="359" t="str">
        <f t="shared" si="10"/>
        <v>Soft Home17</v>
      </c>
      <c r="L238" s="359">
        <v>17</v>
      </c>
      <c r="M238" s="359" t="s">
        <v>743</v>
      </c>
      <c r="N238" s="360">
        <v>4</v>
      </c>
      <c r="O238" s="359" t="s">
        <v>935</v>
      </c>
    </row>
    <row r="239" spans="11:15" x14ac:dyDescent="0.2">
      <c r="K239" s="359" t="str">
        <f t="shared" si="10"/>
        <v>Soft Home18</v>
      </c>
      <c r="L239" s="359">
        <v>18</v>
      </c>
      <c r="M239" s="359" t="s">
        <v>743</v>
      </c>
      <c r="N239" s="360">
        <v>4</v>
      </c>
      <c r="O239" s="359" t="s">
        <v>937</v>
      </c>
    </row>
    <row r="240" spans="11:15" x14ac:dyDescent="0.2">
      <c r="K240" s="359" t="str">
        <f t="shared" si="10"/>
        <v>Soft Home19</v>
      </c>
      <c r="L240" s="359">
        <v>19</v>
      </c>
      <c r="M240" s="359" t="s">
        <v>743</v>
      </c>
      <c r="N240" s="360">
        <v>4</v>
      </c>
      <c r="O240" s="359" t="s">
        <v>922</v>
      </c>
    </row>
    <row r="241" spans="11:15" x14ac:dyDescent="0.2">
      <c r="K241" s="359" t="str">
        <f t="shared" si="10"/>
        <v>Soft Home20</v>
      </c>
      <c r="L241" s="359">
        <v>20</v>
      </c>
      <c r="M241" s="359" t="s">
        <v>743</v>
      </c>
      <c r="N241" s="360">
        <v>4</v>
      </c>
      <c r="O241" s="359" t="s">
        <v>923</v>
      </c>
    </row>
    <row r="242" spans="11:15" x14ac:dyDescent="0.2">
      <c r="K242" s="359" t="str">
        <f t="shared" si="10"/>
        <v>Soft Home21</v>
      </c>
      <c r="L242" s="359">
        <v>21</v>
      </c>
      <c r="M242" s="359" t="s">
        <v>743</v>
      </c>
      <c r="N242" s="360">
        <v>4</v>
      </c>
      <c r="O242" s="359" t="s">
        <v>925</v>
      </c>
    </row>
    <row r="243" spans="11:15" x14ac:dyDescent="0.2">
      <c r="K243" s="359" t="str">
        <f t="shared" si="10"/>
        <v>Soft Home22</v>
      </c>
      <c r="L243" s="359">
        <v>22</v>
      </c>
      <c r="M243" s="359" t="s">
        <v>743</v>
      </c>
      <c r="N243" s="360">
        <v>4</v>
      </c>
      <c r="O243" s="359" t="s">
        <v>934</v>
      </c>
    </row>
    <row r="244" spans="11:15" x14ac:dyDescent="0.2">
      <c r="K244" s="359" t="str">
        <f t="shared" si="10"/>
        <v>Soft Home23</v>
      </c>
      <c r="L244" s="359">
        <v>23</v>
      </c>
      <c r="M244" s="359" t="s">
        <v>743</v>
      </c>
      <c r="N244" s="360">
        <v>4</v>
      </c>
      <c r="O244" s="359" t="s">
        <v>892</v>
      </c>
    </row>
    <row r="245" spans="11:15" x14ac:dyDescent="0.2">
      <c r="K245" s="359" t="str">
        <f t="shared" si="10"/>
        <v>Soft Home24</v>
      </c>
      <c r="L245" s="359">
        <v>24</v>
      </c>
      <c r="M245" s="359" t="s">
        <v>743</v>
      </c>
      <c r="N245" s="360">
        <v>4</v>
      </c>
      <c r="O245" s="359" t="s">
        <v>932</v>
      </c>
    </row>
    <row r="246" spans="11:15" x14ac:dyDescent="0.2">
      <c r="K246" s="359" t="str">
        <f t="shared" si="10"/>
        <v>Soft Home25</v>
      </c>
      <c r="L246" s="359">
        <v>25</v>
      </c>
      <c r="M246" s="359" t="s">
        <v>743</v>
      </c>
      <c r="N246" s="360">
        <v>4</v>
      </c>
      <c r="O246" s="359" t="s">
        <v>933</v>
      </c>
    </row>
    <row r="247" spans="11:15" x14ac:dyDescent="0.2">
      <c r="K247" s="359" t="str">
        <f t="shared" si="10"/>
        <v>Soft Home26</v>
      </c>
      <c r="L247" s="359">
        <v>26</v>
      </c>
      <c r="M247" s="359" t="s">
        <v>743</v>
      </c>
      <c r="N247" s="360">
        <v>4</v>
      </c>
      <c r="O247" s="359" t="s">
        <v>927</v>
      </c>
    </row>
    <row r="248" spans="11:15" x14ac:dyDescent="0.2">
      <c r="K248" s="359" t="str">
        <f t="shared" si="10"/>
        <v>Soft Home27</v>
      </c>
      <c r="L248" s="359">
        <v>27</v>
      </c>
      <c r="M248" s="359" t="s">
        <v>743</v>
      </c>
      <c r="N248" s="360">
        <v>4</v>
      </c>
      <c r="O248" s="359" t="s">
        <v>926</v>
      </c>
    </row>
    <row r="249" spans="11:15" x14ac:dyDescent="0.2">
      <c r="K249" s="359" t="str">
        <f t="shared" si="10"/>
        <v>Soft Home28</v>
      </c>
      <c r="L249" s="359">
        <v>28</v>
      </c>
      <c r="M249" s="359" t="s">
        <v>743</v>
      </c>
      <c r="N249" s="360">
        <v>4</v>
      </c>
      <c r="O249" s="359" t="s">
        <v>767</v>
      </c>
    </row>
    <row r="250" spans="11:15" x14ac:dyDescent="0.2">
      <c r="K250" s="359" t="str">
        <f t="shared" si="10"/>
        <v>Soft Home29</v>
      </c>
      <c r="L250" s="359">
        <v>29</v>
      </c>
      <c r="M250" s="359" t="s">
        <v>743</v>
      </c>
      <c r="N250" s="360">
        <v>4</v>
      </c>
      <c r="O250" s="359" t="s">
        <v>924</v>
      </c>
    </row>
    <row r="251" spans="11:15" x14ac:dyDescent="0.2">
      <c r="K251" s="362" t="str">
        <f t="shared" si="10"/>
        <v>Soft Home30</v>
      </c>
      <c r="L251" s="362">
        <v>30</v>
      </c>
      <c r="M251" s="362" t="s">
        <v>743</v>
      </c>
      <c r="N251" s="363">
        <v>4</v>
      </c>
      <c r="O251" s="358" t="s">
        <v>919</v>
      </c>
    </row>
    <row r="252" spans="11:15" x14ac:dyDescent="0.2">
      <c r="K252" s="586" t="str">
        <f t="shared" si="10"/>
        <v>Hard Home1</v>
      </c>
      <c r="L252" s="586">
        <v>1</v>
      </c>
      <c r="M252" s="586" t="s">
        <v>744</v>
      </c>
      <c r="N252" s="365">
        <v>5</v>
      </c>
      <c r="O252" s="366" t="s">
        <v>1005</v>
      </c>
    </row>
    <row r="253" spans="11:15" x14ac:dyDescent="0.2">
      <c r="K253" s="359" t="str">
        <f t="shared" si="10"/>
        <v>Hard Home2</v>
      </c>
      <c r="L253" s="359">
        <v>2</v>
      </c>
      <c r="M253" s="359" t="s">
        <v>744</v>
      </c>
      <c r="N253" s="360">
        <v>5</v>
      </c>
      <c r="O253" s="359" t="s">
        <v>920</v>
      </c>
    </row>
    <row r="254" spans="11:15" x14ac:dyDescent="0.2">
      <c r="K254" s="359" t="str">
        <f t="shared" si="10"/>
        <v>Hard Home3</v>
      </c>
      <c r="L254" s="359">
        <v>3</v>
      </c>
      <c r="M254" s="359" t="s">
        <v>744</v>
      </c>
      <c r="N254" s="360">
        <v>5</v>
      </c>
      <c r="O254" s="359" t="s">
        <v>951</v>
      </c>
    </row>
    <row r="255" spans="11:15" x14ac:dyDescent="0.2">
      <c r="K255" s="359" t="str">
        <f t="shared" si="10"/>
        <v>Hard Home4</v>
      </c>
      <c r="L255" s="359">
        <v>4</v>
      </c>
      <c r="M255" s="359" t="s">
        <v>744</v>
      </c>
      <c r="N255" s="360">
        <v>5</v>
      </c>
      <c r="O255" s="359" t="s">
        <v>939</v>
      </c>
    </row>
    <row r="256" spans="11:15" x14ac:dyDescent="0.2">
      <c r="K256" s="359" t="str">
        <f t="shared" si="10"/>
        <v>Hard Home5</v>
      </c>
      <c r="L256" s="359">
        <v>5</v>
      </c>
      <c r="M256" s="359" t="s">
        <v>744</v>
      </c>
      <c r="N256" s="360">
        <v>5</v>
      </c>
      <c r="O256" s="359" t="s">
        <v>944</v>
      </c>
    </row>
    <row r="257" spans="11:15" x14ac:dyDescent="0.2">
      <c r="K257" s="359" t="str">
        <f t="shared" si="10"/>
        <v>Hard Home6</v>
      </c>
      <c r="L257" s="359">
        <v>6</v>
      </c>
      <c r="M257" s="359" t="s">
        <v>744</v>
      </c>
      <c r="N257" s="360">
        <v>5</v>
      </c>
      <c r="O257" s="359" t="s">
        <v>948</v>
      </c>
    </row>
    <row r="258" spans="11:15" x14ac:dyDescent="0.2">
      <c r="K258" s="359" t="str">
        <f t="shared" si="10"/>
        <v>Hard Home7</v>
      </c>
      <c r="L258" s="359">
        <v>7</v>
      </c>
      <c r="M258" s="359" t="s">
        <v>744</v>
      </c>
      <c r="N258" s="360">
        <v>5</v>
      </c>
      <c r="O258" s="359" t="s">
        <v>958</v>
      </c>
    </row>
    <row r="259" spans="11:15" x14ac:dyDescent="0.2">
      <c r="K259" s="359" t="str">
        <f t="shared" si="10"/>
        <v>Hard Home8</v>
      </c>
      <c r="L259" s="359">
        <v>8</v>
      </c>
      <c r="M259" s="359" t="s">
        <v>744</v>
      </c>
      <c r="N259" s="360">
        <v>5</v>
      </c>
      <c r="O259" s="359" t="s">
        <v>945</v>
      </c>
    </row>
    <row r="260" spans="11:15" x14ac:dyDescent="0.2">
      <c r="K260" s="359" t="str">
        <f t="shared" si="10"/>
        <v>Hard Home9</v>
      </c>
      <c r="L260" s="359">
        <v>9</v>
      </c>
      <c r="M260" s="359" t="s">
        <v>744</v>
      </c>
      <c r="N260" s="360">
        <v>5</v>
      </c>
      <c r="O260" s="359" t="s">
        <v>949</v>
      </c>
    </row>
    <row r="261" spans="11:15" x14ac:dyDescent="0.2">
      <c r="K261" s="359" t="str">
        <f t="shared" si="10"/>
        <v>Hard Home10</v>
      </c>
      <c r="L261" s="359">
        <v>10</v>
      </c>
      <c r="M261" s="359" t="s">
        <v>744</v>
      </c>
      <c r="N261" s="360">
        <v>5</v>
      </c>
      <c r="O261" s="359" t="s">
        <v>959</v>
      </c>
    </row>
    <row r="262" spans="11:15" x14ac:dyDescent="0.2">
      <c r="K262" s="359" t="str">
        <f t="shared" si="10"/>
        <v>Hard Home11</v>
      </c>
      <c r="L262" s="359">
        <v>11</v>
      </c>
      <c r="M262" s="359" t="s">
        <v>744</v>
      </c>
      <c r="N262" s="360">
        <v>5</v>
      </c>
      <c r="O262" s="359" t="s">
        <v>937</v>
      </c>
    </row>
    <row r="263" spans="11:15" x14ac:dyDescent="0.2">
      <c r="K263" s="359" t="str">
        <f t="shared" si="10"/>
        <v>Hard Home12</v>
      </c>
      <c r="L263" s="359">
        <v>12</v>
      </c>
      <c r="M263" s="359" t="s">
        <v>744</v>
      </c>
      <c r="N263" s="360">
        <v>5</v>
      </c>
      <c r="O263" s="359" t="s">
        <v>942</v>
      </c>
    </row>
    <row r="264" spans="11:15" x14ac:dyDescent="0.2">
      <c r="K264" s="359" t="str">
        <f t="shared" si="10"/>
        <v>Hard Home13</v>
      </c>
      <c r="L264" s="359">
        <v>13</v>
      </c>
      <c r="M264" s="359" t="s">
        <v>744</v>
      </c>
      <c r="N264" s="360">
        <v>5</v>
      </c>
      <c r="O264" s="359" t="s">
        <v>950</v>
      </c>
    </row>
    <row r="265" spans="11:15" x14ac:dyDescent="0.2">
      <c r="K265" s="359" t="str">
        <f t="shared" si="10"/>
        <v>Hard Home14</v>
      </c>
      <c r="L265" s="359">
        <v>14</v>
      </c>
      <c r="M265" s="359" t="s">
        <v>744</v>
      </c>
      <c r="N265" s="360">
        <v>5</v>
      </c>
      <c r="O265" s="359" t="s">
        <v>953</v>
      </c>
    </row>
    <row r="266" spans="11:15" x14ac:dyDescent="0.2">
      <c r="K266" s="359" t="str">
        <f t="shared" si="10"/>
        <v>Hard Home15</v>
      </c>
      <c r="L266" s="359">
        <v>15</v>
      </c>
      <c r="M266" s="359" t="s">
        <v>744</v>
      </c>
      <c r="N266" s="360">
        <v>5</v>
      </c>
      <c r="O266" s="359" t="s">
        <v>940</v>
      </c>
    </row>
    <row r="267" spans="11:15" x14ac:dyDescent="0.2">
      <c r="K267" s="359" t="str">
        <f t="shared" si="10"/>
        <v>Hard Home16</v>
      </c>
      <c r="L267" s="359">
        <v>16</v>
      </c>
      <c r="M267" s="359" t="s">
        <v>744</v>
      </c>
      <c r="N267" s="360">
        <v>5</v>
      </c>
      <c r="O267" s="359" t="s">
        <v>954</v>
      </c>
    </row>
    <row r="268" spans="11:15" x14ac:dyDescent="0.2">
      <c r="K268" s="359" t="str">
        <f t="shared" si="10"/>
        <v>Hard Home17</v>
      </c>
      <c r="L268" s="359">
        <v>17</v>
      </c>
      <c r="M268" s="359" t="s">
        <v>744</v>
      </c>
      <c r="N268" s="360">
        <v>5</v>
      </c>
      <c r="O268" s="359" t="s">
        <v>956</v>
      </c>
    </row>
    <row r="269" spans="11:15" x14ac:dyDescent="0.2">
      <c r="K269" s="359" t="str">
        <f t="shared" si="10"/>
        <v>Hard Home18</v>
      </c>
      <c r="L269" s="359">
        <v>18</v>
      </c>
      <c r="M269" s="359" t="s">
        <v>744</v>
      </c>
      <c r="N269" s="360">
        <v>5</v>
      </c>
      <c r="O269" s="359" t="s">
        <v>943</v>
      </c>
    </row>
    <row r="270" spans="11:15" x14ac:dyDescent="0.2">
      <c r="K270" s="359" t="str">
        <f t="shared" si="10"/>
        <v>Hard Home19</v>
      </c>
      <c r="L270" s="359">
        <v>19</v>
      </c>
      <c r="M270" s="359" t="s">
        <v>744</v>
      </c>
      <c r="N270" s="360">
        <v>5</v>
      </c>
      <c r="O270" s="359" t="s">
        <v>952</v>
      </c>
    </row>
    <row r="271" spans="11:15" x14ac:dyDescent="0.2">
      <c r="K271" s="359" t="str">
        <f t="shared" si="10"/>
        <v>Hard Home20</v>
      </c>
      <c r="L271" s="359">
        <v>20</v>
      </c>
      <c r="M271" s="359" t="s">
        <v>744</v>
      </c>
      <c r="N271" s="360">
        <v>5</v>
      </c>
      <c r="O271" s="359" t="s">
        <v>947</v>
      </c>
    </row>
    <row r="272" spans="11:15" x14ac:dyDescent="0.2">
      <c r="K272" s="359" t="str">
        <f t="shared" si="10"/>
        <v>Hard Home21</v>
      </c>
      <c r="L272" s="359">
        <v>21</v>
      </c>
      <c r="M272" s="359" t="s">
        <v>744</v>
      </c>
      <c r="N272" s="360">
        <v>5</v>
      </c>
      <c r="O272" s="359" t="s">
        <v>941</v>
      </c>
    </row>
    <row r="273" spans="11:15" x14ac:dyDescent="0.2">
      <c r="K273" s="359" t="str">
        <f t="shared" si="10"/>
        <v>Hard Home22</v>
      </c>
      <c r="L273" s="359">
        <v>22</v>
      </c>
      <c r="M273" s="359" t="s">
        <v>744</v>
      </c>
      <c r="N273" s="360">
        <v>5</v>
      </c>
      <c r="O273" s="359" t="s">
        <v>946</v>
      </c>
    </row>
    <row r="274" spans="11:15" x14ac:dyDescent="0.2">
      <c r="K274" s="359" t="str">
        <f t="shared" si="10"/>
        <v>Hard Home23</v>
      </c>
      <c r="L274" s="359">
        <v>23</v>
      </c>
      <c r="M274" s="359" t="s">
        <v>744</v>
      </c>
      <c r="N274" s="360">
        <v>5</v>
      </c>
      <c r="O274" s="359" t="s">
        <v>955</v>
      </c>
    </row>
    <row r="275" spans="11:15" x14ac:dyDescent="0.2">
      <c r="K275" s="359" t="str">
        <f t="shared" si="10"/>
        <v>Hard Home24</v>
      </c>
      <c r="L275" s="359">
        <v>24</v>
      </c>
      <c r="M275" s="359" t="s">
        <v>744</v>
      </c>
      <c r="N275" s="360">
        <v>5</v>
      </c>
      <c r="O275" s="359" t="s">
        <v>957</v>
      </c>
    </row>
    <row r="276" spans="11:15" x14ac:dyDescent="0.2">
      <c r="K276" s="362" t="str">
        <f t="shared" si="10"/>
        <v>Hard Home25</v>
      </c>
      <c r="L276" s="362">
        <v>25</v>
      </c>
      <c r="M276" s="362" t="s">
        <v>744</v>
      </c>
      <c r="N276" s="363">
        <v>5</v>
      </c>
      <c r="O276" s="358" t="s">
        <v>919</v>
      </c>
    </row>
    <row r="277" spans="11:15" x14ac:dyDescent="0.2">
      <c r="K277" s="586" t="str">
        <f t="shared" ref="K277" si="11">M277&amp;L277</f>
        <v>Electronics &amp; Accessories1</v>
      </c>
      <c r="L277" s="586">
        <v>1</v>
      </c>
      <c r="M277" s="586" t="s">
        <v>960</v>
      </c>
      <c r="N277" s="365">
        <v>6</v>
      </c>
      <c r="O277" s="366" t="s">
        <v>1005</v>
      </c>
    </row>
    <row r="278" spans="11:15" x14ac:dyDescent="0.2">
      <c r="K278" s="359" t="str">
        <f t="shared" si="10"/>
        <v>Electronics &amp; Accessories2</v>
      </c>
      <c r="L278" s="359">
        <v>2</v>
      </c>
      <c r="M278" s="359" t="s">
        <v>960</v>
      </c>
      <c r="N278" s="360">
        <v>6</v>
      </c>
      <c r="O278" s="359" t="s">
        <v>963</v>
      </c>
    </row>
    <row r="279" spans="11:15" x14ac:dyDescent="0.2">
      <c r="K279" s="359" t="str">
        <f t="shared" si="10"/>
        <v>Electronics &amp; Accessories3</v>
      </c>
      <c r="L279" s="359">
        <v>3</v>
      </c>
      <c r="M279" s="359" t="s">
        <v>960</v>
      </c>
      <c r="N279" s="360">
        <v>6</v>
      </c>
      <c r="O279" s="359" t="s">
        <v>945</v>
      </c>
    </row>
    <row r="280" spans="11:15" x14ac:dyDescent="0.2">
      <c r="K280" s="359" t="str">
        <f t="shared" si="10"/>
        <v>Electronics &amp; Accessories4</v>
      </c>
      <c r="L280" s="359">
        <v>4</v>
      </c>
      <c r="M280" s="359" t="s">
        <v>960</v>
      </c>
      <c r="N280" s="360">
        <v>6</v>
      </c>
      <c r="O280" s="359" t="s">
        <v>962</v>
      </c>
    </row>
    <row r="281" spans="11:15" x14ac:dyDescent="0.2">
      <c r="K281" s="359" t="str">
        <f t="shared" si="10"/>
        <v>Electronics &amp; Accessories5</v>
      </c>
      <c r="L281" s="359">
        <v>5</v>
      </c>
      <c r="M281" s="359" t="s">
        <v>960</v>
      </c>
      <c r="N281" s="360">
        <v>6</v>
      </c>
      <c r="O281" s="359" t="s">
        <v>961</v>
      </c>
    </row>
    <row r="282" spans="11:15" x14ac:dyDescent="0.2">
      <c r="K282" s="359" t="str">
        <f t="shared" si="10"/>
        <v>Electronics &amp; Accessories6</v>
      </c>
      <c r="L282" s="359">
        <v>6</v>
      </c>
      <c r="M282" s="359" t="s">
        <v>960</v>
      </c>
      <c r="N282" s="360">
        <v>6</v>
      </c>
      <c r="O282" s="359" t="s">
        <v>767</v>
      </c>
    </row>
    <row r="283" spans="11:15" x14ac:dyDescent="0.2">
      <c r="K283" s="362" t="str">
        <f t="shared" si="10"/>
        <v>Electronics &amp; Accessories7</v>
      </c>
      <c r="L283" s="362">
        <v>7</v>
      </c>
      <c r="M283" s="362" t="s">
        <v>960</v>
      </c>
      <c r="N283" s="363">
        <v>6</v>
      </c>
      <c r="O283" s="358" t="s">
        <v>919</v>
      </c>
    </row>
    <row r="284" spans="11:15" x14ac:dyDescent="0.2">
      <c r="K284" s="586" t="str">
        <f t="shared" si="10"/>
        <v>Furniture1</v>
      </c>
      <c r="L284" s="586">
        <v>1</v>
      </c>
      <c r="M284" s="586" t="s">
        <v>745</v>
      </c>
      <c r="N284" s="365">
        <v>9</v>
      </c>
      <c r="O284" s="366" t="s">
        <v>1005</v>
      </c>
    </row>
    <row r="285" spans="11:15" x14ac:dyDescent="0.2">
      <c r="K285" s="359" t="str">
        <f t="shared" si="10"/>
        <v>Furniture2</v>
      </c>
      <c r="L285" s="359">
        <v>2</v>
      </c>
      <c r="M285" s="359" t="s">
        <v>745</v>
      </c>
      <c r="N285" s="364">
        <v>9</v>
      </c>
      <c r="O285" s="359" t="s">
        <v>972</v>
      </c>
    </row>
    <row r="286" spans="11:15" x14ac:dyDescent="0.2">
      <c r="K286" s="359" t="str">
        <f t="shared" si="10"/>
        <v>Furniture3</v>
      </c>
      <c r="L286" s="359">
        <v>3</v>
      </c>
      <c r="M286" s="359" t="s">
        <v>745</v>
      </c>
      <c r="N286" s="364">
        <v>9</v>
      </c>
      <c r="O286" s="359" t="s">
        <v>964</v>
      </c>
    </row>
    <row r="287" spans="11:15" x14ac:dyDescent="0.2">
      <c r="K287" s="359" t="str">
        <f t="shared" si="10"/>
        <v>Furniture4</v>
      </c>
      <c r="L287" s="359">
        <v>4</v>
      </c>
      <c r="M287" s="359" t="s">
        <v>745</v>
      </c>
      <c r="N287" s="364">
        <v>9</v>
      </c>
      <c r="O287" s="359" t="s">
        <v>971</v>
      </c>
    </row>
    <row r="288" spans="11:15" x14ac:dyDescent="0.2">
      <c r="K288" s="359" t="str">
        <f t="shared" si="10"/>
        <v>Furniture5</v>
      </c>
      <c r="L288" s="359">
        <v>5</v>
      </c>
      <c r="M288" s="359" t="s">
        <v>745</v>
      </c>
      <c r="N288" s="364">
        <v>9</v>
      </c>
      <c r="O288" s="359" t="s">
        <v>965</v>
      </c>
    </row>
    <row r="289" spans="11:15" x14ac:dyDescent="0.2">
      <c r="K289" s="359" t="str">
        <f t="shared" si="10"/>
        <v>Furniture6</v>
      </c>
      <c r="L289" s="359">
        <v>6</v>
      </c>
      <c r="M289" s="359" t="s">
        <v>745</v>
      </c>
      <c r="N289" s="364">
        <v>9</v>
      </c>
      <c r="O289" s="359" t="s">
        <v>970</v>
      </c>
    </row>
    <row r="290" spans="11:15" x14ac:dyDescent="0.2">
      <c r="K290" s="359" t="str">
        <f t="shared" si="10"/>
        <v>Furniture7</v>
      </c>
      <c r="L290" s="359">
        <v>7</v>
      </c>
      <c r="M290" s="359" t="s">
        <v>745</v>
      </c>
      <c r="N290" s="364">
        <v>9</v>
      </c>
      <c r="O290" s="359" t="s">
        <v>973</v>
      </c>
    </row>
    <row r="291" spans="11:15" x14ac:dyDescent="0.2">
      <c r="K291" s="359" t="str">
        <f t="shared" si="10"/>
        <v>Furniture8</v>
      </c>
      <c r="L291" s="359">
        <v>8</v>
      </c>
      <c r="M291" s="359" t="s">
        <v>745</v>
      </c>
      <c r="N291" s="364">
        <v>9</v>
      </c>
      <c r="O291" s="359" t="s">
        <v>966</v>
      </c>
    </row>
    <row r="292" spans="11:15" x14ac:dyDescent="0.2">
      <c r="K292" s="359" t="str">
        <f t="shared" ref="K292:K295" si="12">M292&amp;L292</f>
        <v>Furniture9</v>
      </c>
      <c r="L292" s="359">
        <v>9</v>
      </c>
      <c r="M292" s="359" t="s">
        <v>745</v>
      </c>
      <c r="N292" s="364">
        <v>9</v>
      </c>
      <c r="O292" s="359" t="s">
        <v>967</v>
      </c>
    </row>
    <row r="293" spans="11:15" x14ac:dyDescent="0.2">
      <c r="K293" s="359" t="str">
        <f t="shared" si="12"/>
        <v>Furniture10</v>
      </c>
      <c r="L293" s="359">
        <v>10</v>
      </c>
      <c r="M293" s="359" t="s">
        <v>745</v>
      </c>
      <c r="N293" s="364">
        <v>9</v>
      </c>
      <c r="O293" s="359" t="s">
        <v>968</v>
      </c>
    </row>
    <row r="294" spans="11:15" x14ac:dyDescent="0.2">
      <c r="K294" s="359" t="str">
        <f t="shared" si="12"/>
        <v>Furniture11</v>
      </c>
      <c r="L294" s="359">
        <v>11</v>
      </c>
      <c r="M294" s="359" t="s">
        <v>745</v>
      </c>
      <c r="N294" s="364">
        <v>9</v>
      </c>
      <c r="O294" s="359" t="s">
        <v>969</v>
      </c>
    </row>
    <row r="295" spans="11:15" x14ac:dyDescent="0.2">
      <c r="K295" s="362" t="str">
        <f t="shared" si="12"/>
        <v>Furniture12</v>
      </c>
      <c r="L295" s="362">
        <v>12</v>
      </c>
      <c r="M295" s="362" t="s">
        <v>745</v>
      </c>
      <c r="N295" s="363">
        <v>9</v>
      </c>
      <c r="O295" s="358" t="s">
        <v>919</v>
      </c>
    </row>
  </sheetData>
  <autoFilter ref="K23:O295" xr:uid="{8CCD748A-B143-4FD2-AC0B-B4D9A166FA32}"/>
  <sortState ref="O285:O294">
    <sortCondition ref="O285:O294"/>
  </sortState>
  <mergeCells count="3">
    <mergeCell ref="A1:C1"/>
    <mergeCell ref="A2:C2"/>
    <mergeCell ref="A5:C5"/>
  </mergeCells>
  <phoneticPr fontId="2" type="noConversion"/>
  <dataValidations count="2">
    <dataValidation type="list" allowBlank="1" showInputMessage="1" showErrorMessage="1" sqref="B8" xr:uid="{FA23BCB8-A72A-4A40-9F02-C6E80C6C19F5}">
      <formula1>$E$24:$E$31</formula1>
    </dataValidation>
    <dataValidation type="list" allowBlank="1" showInputMessage="1" showErrorMessage="1" sqref="B11:B17" xr:uid="{A4F5D652-7189-405E-AD20-0F9832E54A33}">
      <formula1>$I$24:$I$157</formula1>
    </dataValidation>
  </dataValidations>
  <pageMargins left="0.5" right="0.5" top="1" bottom="1" header="0.5" footer="0.5"/>
  <pageSetup orientation="landscape" verticalDpi="300"/>
  <headerFooter alignWithMargins="0">
    <oddHeader>&amp;C&amp;F&amp;R&amp;D</oddHeader>
    <oddFooter>&amp;C Product Features and Benefits&amp;R&amp;P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5"/>
  <sheetViews>
    <sheetView showGridLines="0" zoomScaleSheetLayoutView="115" workbookViewId="0">
      <selection activeCell="A19" sqref="A19"/>
    </sheetView>
  </sheetViews>
  <sheetFormatPr defaultColWidth="9.140625" defaultRowHeight="12.75" x14ac:dyDescent="0.2"/>
  <cols>
    <col min="1" max="1" width="36.42578125" style="16" bestFit="1" customWidth="1"/>
    <col min="2" max="2" width="9.140625" style="16"/>
    <col min="3" max="3" width="10.42578125" style="16" customWidth="1"/>
    <col min="4" max="4" width="9.140625" style="16"/>
    <col min="5" max="5" width="17.85546875" style="16" customWidth="1"/>
    <col min="6" max="6" width="0.140625" style="16" customWidth="1"/>
    <col min="7" max="16384" width="9.140625" style="16"/>
  </cols>
  <sheetData>
    <row r="1" spans="1:5" ht="7.35" customHeight="1" thickBot="1" x14ac:dyDescent="0.25"/>
    <row r="2" spans="1:5" ht="18.75" customHeight="1" thickBot="1" x14ac:dyDescent="0.25">
      <c r="A2" s="546" t="s">
        <v>108</v>
      </c>
      <c r="B2" s="547"/>
      <c r="C2" s="547"/>
      <c r="D2" s="547"/>
      <c r="E2" s="548"/>
    </row>
    <row r="3" spans="1:5" ht="13.5" thickBot="1" x14ac:dyDescent="0.25"/>
    <row r="4" spans="1:5" ht="13.5" thickBot="1" x14ac:dyDescent="0.25">
      <c r="A4" s="16" t="s">
        <v>109</v>
      </c>
      <c r="B4" s="17" t="s">
        <v>110</v>
      </c>
      <c r="C4" s="18"/>
      <c r="D4" s="19" t="s">
        <v>111</v>
      </c>
      <c r="E4" s="18"/>
    </row>
    <row r="5" spans="1:5" ht="13.5" thickBot="1" x14ac:dyDescent="0.25">
      <c r="B5" s="20"/>
      <c r="D5" s="20"/>
    </row>
    <row r="6" spans="1:5" ht="13.5" thickBot="1" x14ac:dyDescent="0.25">
      <c r="A6" s="16" t="s">
        <v>112</v>
      </c>
      <c r="C6" s="564"/>
      <c r="D6" s="565"/>
      <c r="E6" s="566"/>
    </row>
    <row r="7" spans="1:5" ht="13.5" thickBot="1" x14ac:dyDescent="0.25"/>
    <row r="8" spans="1:5" ht="13.5" thickBot="1" x14ac:dyDescent="0.25">
      <c r="A8" s="16" t="s">
        <v>107</v>
      </c>
      <c r="C8" s="564"/>
      <c r="D8" s="566"/>
    </row>
    <row r="9" spans="1:5" ht="13.5" thickBot="1" x14ac:dyDescent="0.25"/>
    <row r="10" spans="1:5" x14ac:dyDescent="0.2">
      <c r="A10" s="16" t="s">
        <v>118</v>
      </c>
      <c r="B10" s="567"/>
      <c r="C10" s="568"/>
      <c r="D10" s="568"/>
      <c r="E10" s="569"/>
    </row>
    <row r="11" spans="1:5" x14ac:dyDescent="0.2">
      <c r="B11" s="570"/>
      <c r="C11" s="571"/>
      <c r="D11" s="571"/>
      <c r="E11" s="572"/>
    </row>
    <row r="12" spans="1:5" x14ac:dyDescent="0.2">
      <c r="B12" s="570"/>
      <c r="C12" s="571"/>
      <c r="D12" s="571"/>
      <c r="E12" s="572"/>
    </row>
    <row r="13" spans="1:5" x14ac:dyDescent="0.2">
      <c r="B13" s="570"/>
      <c r="C13" s="571"/>
      <c r="D13" s="571"/>
      <c r="E13" s="572"/>
    </row>
    <row r="14" spans="1:5" ht="13.5" thickBot="1" x14ac:dyDescent="0.25">
      <c r="B14" s="573"/>
      <c r="C14" s="574"/>
      <c r="D14" s="574"/>
      <c r="E14" s="575"/>
    </row>
    <row r="15" spans="1:5" ht="13.5" thickBot="1" x14ac:dyDescent="0.25"/>
    <row r="16" spans="1:5" ht="13.5" thickBot="1" x14ac:dyDescent="0.25">
      <c r="A16" s="261" t="s">
        <v>569</v>
      </c>
      <c r="B16" s="224"/>
      <c r="C16" s="576"/>
      <c r="D16" s="577"/>
      <c r="E16" s="578"/>
    </row>
    <row r="17" spans="1:5" ht="13.5" thickBot="1" x14ac:dyDescent="0.25">
      <c r="A17" s="261" t="s">
        <v>441</v>
      </c>
      <c r="B17" s="224"/>
      <c r="C17" s="576"/>
      <c r="D17" s="577"/>
      <c r="E17" s="578"/>
    </row>
    <row r="18" spans="1:5" ht="13.5" thickBot="1" x14ac:dyDescent="0.25"/>
    <row r="19" spans="1:5" ht="13.5" thickBot="1" x14ac:dyDescent="0.25">
      <c r="A19" s="16" t="s">
        <v>113</v>
      </c>
      <c r="C19" s="564"/>
      <c r="D19" s="565"/>
      <c r="E19" s="566"/>
    </row>
    <row r="20" spans="1:5" ht="13.5" thickBot="1" x14ac:dyDescent="0.25"/>
    <row r="21" spans="1:5" ht="13.5" thickBot="1" x14ac:dyDescent="0.25">
      <c r="A21" s="16" t="s">
        <v>119</v>
      </c>
      <c r="C21" s="564"/>
      <c r="D21" s="565"/>
      <c r="E21" s="566"/>
    </row>
    <row r="22" spans="1:5" ht="13.5" thickBot="1" x14ac:dyDescent="0.25"/>
    <row r="23" spans="1:5" ht="13.5" thickBot="1" x14ac:dyDescent="0.25">
      <c r="A23" s="16" t="s">
        <v>114</v>
      </c>
      <c r="C23" s="564"/>
      <c r="D23" s="565"/>
      <c r="E23" s="566"/>
    </row>
    <row r="24" spans="1:5" ht="13.5" thickBot="1" x14ac:dyDescent="0.25"/>
    <row r="25" spans="1:5" ht="13.5" thickBot="1" x14ac:dyDescent="0.25">
      <c r="A25" s="16" t="s">
        <v>115</v>
      </c>
      <c r="B25" s="21" t="s">
        <v>116</v>
      </c>
      <c r="C25" s="18"/>
      <c r="D25" s="21" t="s">
        <v>117</v>
      </c>
      <c r="E25" s="18"/>
    </row>
    <row r="26" spans="1:5" ht="13.5" thickBot="1" x14ac:dyDescent="0.25">
      <c r="B26" s="21"/>
      <c r="C26" s="19"/>
      <c r="D26" s="21"/>
      <c r="E26" s="19"/>
    </row>
    <row r="27" spans="1:5" ht="13.5" thickBot="1" x14ac:dyDescent="0.25">
      <c r="A27" s="16" t="s">
        <v>131</v>
      </c>
      <c r="B27" s="21" t="s">
        <v>110</v>
      </c>
      <c r="C27" s="18"/>
      <c r="D27" s="21" t="s">
        <v>111</v>
      </c>
      <c r="E27" s="18" t="s">
        <v>120</v>
      </c>
    </row>
    <row r="28" spans="1:5" ht="13.5" thickBot="1" x14ac:dyDescent="0.25">
      <c r="B28" s="21"/>
      <c r="C28" s="19"/>
      <c r="D28" s="21"/>
      <c r="E28" s="19"/>
    </row>
    <row r="29" spans="1:5" ht="13.5" thickBot="1" x14ac:dyDescent="0.25">
      <c r="A29" s="16" t="s">
        <v>132</v>
      </c>
      <c r="B29" s="21"/>
      <c r="C29" s="75"/>
      <c r="D29" s="22"/>
      <c r="E29" s="76"/>
    </row>
    <row r="30" spans="1:5" ht="13.5" thickBot="1" x14ac:dyDescent="0.25">
      <c r="B30" s="21"/>
      <c r="C30" s="19"/>
      <c r="D30" s="23"/>
      <c r="E30" s="19"/>
    </row>
    <row r="31" spans="1:5" ht="13.5" thickBot="1" x14ac:dyDescent="0.25">
      <c r="A31" s="16" t="s">
        <v>133</v>
      </c>
      <c r="B31" s="21" t="s">
        <v>110</v>
      </c>
      <c r="C31" s="18"/>
      <c r="D31" s="23" t="s">
        <v>111</v>
      </c>
      <c r="E31" s="18"/>
    </row>
    <row r="32" spans="1:5" ht="13.5" thickBot="1" x14ac:dyDescent="0.25">
      <c r="B32" s="21"/>
      <c r="C32" s="19"/>
      <c r="D32" s="23"/>
      <c r="E32" s="19"/>
    </row>
    <row r="33" spans="1:8" ht="13.5" thickBot="1" x14ac:dyDescent="0.25">
      <c r="A33" s="16" t="s">
        <v>134</v>
      </c>
      <c r="B33" s="21"/>
      <c r="C33" s="75"/>
      <c r="D33" s="22"/>
      <c r="E33" s="76"/>
    </row>
    <row r="34" spans="1:8" ht="13.5" thickBot="1" x14ac:dyDescent="0.25">
      <c r="B34" s="21"/>
      <c r="C34" s="19"/>
      <c r="D34" s="23"/>
      <c r="E34" s="19"/>
    </row>
    <row r="35" spans="1:8" ht="13.5" thickBot="1" x14ac:dyDescent="0.25">
      <c r="A35" s="16" t="s">
        <v>135</v>
      </c>
      <c r="B35" s="21" t="s">
        <v>110</v>
      </c>
      <c r="C35" s="18"/>
      <c r="D35" s="23" t="s">
        <v>136</v>
      </c>
      <c r="E35" s="18"/>
    </row>
    <row r="36" spans="1:8" x14ac:dyDescent="0.2">
      <c r="B36" s="21"/>
      <c r="C36" s="19"/>
      <c r="D36" s="23"/>
      <c r="E36" s="19"/>
    </row>
    <row r="37" spans="1:8" ht="15.75" x14ac:dyDescent="0.25">
      <c r="A37" s="29" t="s">
        <v>251</v>
      </c>
      <c r="B37"/>
      <c r="C37"/>
      <c r="D37"/>
      <c r="E37" s="30"/>
      <c r="F37"/>
      <c r="G37"/>
      <c r="H37" s="30"/>
    </row>
    <row r="38" spans="1:8" ht="13.5" thickBot="1" x14ac:dyDescent="0.25">
      <c r="A38"/>
      <c r="B38"/>
      <c r="C38"/>
      <c r="D38"/>
      <c r="E38" s="30"/>
      <c r="F38"/>
      <c r="G38"/>
      <c r="H38" s="30"/>
    </row>
    <row r="39" spans="1:8" ht="13.5" thickBot="1" x14ac:dyDescent="0.25">
      <c r="A39" t="s">
        <v>250</v>
      </c>
      <c r="B39"/>
      <c r="C39"/>
      <c r="D39" t="s">
        <v>246</v>
      </c>
      <c r="E39" s="27"/>
      <c r="F39"/>
      <c r="G39"/>
      <c r="H39"/>
    </row>
    <row r="40" spans="1:8" ht="13.5" thickBot="1" x14ac:dyDescent="0.25">
      <c r="A40"/>
      <c r="B40"/>
      <c r="C40"/>
      <c r="D40"/>
      <c r="E40" s="28"/>
      <c r="F40"/>
      <c r="G40"/>
      <c r="H40"/>
    </row>
    <row r="41" spans="1:8" ht="13.5" thickBot="1" x14ac:dyDescent="0.25">
      <c r="A41" t="s">
        <v>249</v>
      </c>
      <c r="B41"/>
      <c r="C41"/>
      <c r="D41" t="s">
        <v>244</v>
      </c>
      <c r="E41" s="27"/>
      <c r="F41"/>
      <c r="G41"/>
      <c r="H41"/>
    </row>
    <row r="42" spans="1:8" x14ac:dyDescent="0.2">
      <c r="A42"/>
      <c r="B42"/>
      <c r="C42"/>
      <c r="D42"/>
      <c r="E42" s="30"/>
      <c r="F42"/>
      <c r="G42"/>
      <c r="H42"/>
    </row>
    <row r="43" spans="1:8" ht="21" x14ac:dyDescent="0.35">
      <c r="A43" s="31" t="s">
        <v>248</v>
      </c>
      <c r="B43"/>
      <c r="C43"/>
      <c r="D43"/>
      <c r="E43" s="30"/>
      <c r="F43"/>
      <c r="G43"/>
      <c r="H43"/>
    </row>
    <row r="44" spans="1:8" x14ac:dyDescent="0.2">
      <c r="A44"/>
      <c r="B44"/>
      <c r="C44"/>
      <c r="D44"/>
      <c r="E44" s="30"/>
      <c r="F44"/>
      <c r="G44"/>
      <c r="H44"/>
    </row>
    <row r="45" spans="1:8" ht="15.75" x14ac:dyDescent="0.25">
      <c r="A45" s="29" t="s">
        <v>247</v>
      </c>
      <c r="B45"/>
      <c r="C45"/>
      <c r="D45"/>
      <c r="E45"/>
      <c r="F45"/>
      <c r="G45"/>
      <c r="H45"/>
    </row>
    <row r="46" spans="1:8" ht="13.5" thickBot="1" x14ac:dyDescent="0.25">
      <c r="A46" s="74" t="s">
        <v>120</v>
      </c>
      <c r="B46"/>
      <c r="C46"/>
      <c r="D46" t="s">
        <v>120</v>
      </c>
      <c r="E46"/>
      <c r="F46"/>
      <c r="G46"/>
      <c r="H46"/>
    </row>
    <row r="47" spans="1:8" ht="13.5" thickBot="1" x14ac:dyDescent="0.25">
      <c r="A47" s="225" t="s">
        <v>311</v>
      </c>
      <c r="B47"/>
      <c r="C47"/>
      <c r="D47" t="s">
        <v>246</v>
      </c>
      <c r="E47" s="27"/>
      <c r="F47"/>
      <c r="G47"/>
      <c r="H47"/>
    </row>
    <row r="48" spans="1:8" ht="13.5" thickBot="1" x14ac:dyDescent="0.25">
      <c r="A48"/>
      <c r="B48"/>
      <c r="C48"/>
      <c r="D48"/>
      <c r="E48" s="28"/>
      <c r="F48"/>
      <c r="G48"/>
      <c r="H48"/>
    </row>
    <row r="49" spans="1:8" ht="13.5" thickBot="1" x14ac:dyDescent="0.25">
      <c r="A49" s="225" t="s">
        <v>245</v>
      </c>
      <c r="B49"/>
      <c r="C49"/>
      <c r="D49" t="s">
        <v>244</v>
      </c>
      <c r="E49" s="27"/>
      <c r="F49"/>
      <c r="G49"/>
      <c r="H49"/>
    </row>
    <row r="50" spans="1:8" x14ac:dyDescent="0.2">
      <c r="A50"/>
      <c r="B50"/>
      <c r="C50"/>
      <c r="D50"/>
      <c r="E50" s="30"/>
      <c r="F50"/>
      <c r="G50"/>
      <c r="H50"/>
    </row>
    <row r="51" spans="1:8" x14ac:dyDescent="0.2">
      <c r="A51" t="s">
        <v>243</v>
      </c>
      <c r="B51"/>
      <c r="C51"/>
      <c r="D51"/>
      <c r="E51"/>
      <c r="F51"/>
      <c r="G51"/>
      <c r="H51"/>
    </row>
    <row r="52" spans="1:8" ht="27" customHeight="1" x14ac:dyDescent="0.2">
      <c r="A52" s="562" t="s">
        <v>442</v>
      </c>
      <c r="B52" s="563"/>
      <c r="C52" s="563"/>
      <c r="D52" s="563"/>
      <c r="E52" s="563"/>
      <c r="F52" s="563"/>
      <c r="G52" s="563"/>
      <c r="H52" s="563"/>
    </row>
    <row r="54" spans="1:8" x14ac:dyDescent="0.2">
      <c r="E54" s="16" t="s">
        <v>120</v>
      </c>
    </row>
    <row r="55" spans="1:8" x14ac:dyDescent="0.2">
      <c r="B55" s="16" t="s">
        <v>120</v>
      </c>
    </row>
  </sheetData>
  <mergeCells count="10">
    <mergeCell ref="A2:E2"/>
    <mergeCell ref="A52:H52"/>
    <mergeCell ref="C6:E6"/>
    <mergeCell ref="C8:D8"/>
    <mergeCell ref="B10:E14"/>
    <mergeCell ref="C16:E16"/>
    <mergeCell ref="C17:E17"/>
    <mergeCell ref="C19:E19"/>
    <mergeCell ref="C21:E21"/>
    <mergeCell ref="C23:E23"/>
  </mergeCells>
  <phoneticPr fontId="16" type="noConversion"/>
  <pageMargins left="0.45" right="0.45" top="0.5" bottom="0.5" header="0.3" footer="0.3"/>
  <pageSetup scale="96" orientation="portrait"/>
  <headerFooter>
    <oddHeader>&amp;C&amp;F&amp;R&amp;D</oddHeader>
    <oddFooter>&amp;C&amp;A&amp;R&amp;P of &amp;N</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64:F95"/>
  <sheetViews>
    <sheetView showGridLines="0" workbookViewId="0">
      <selection activeCell="D42" sqref="D42"/>
    </sheetView>
  </sheetViews>
  <sheetFormatPr defaultColWidth="8.85546875" defaultRowHeight="12.75" x14ac:dyDescent="0.2"/>
  <cols>
    <col min="1" max="1" width="39.85546875" customWidth="1"/>
    <col min="2" max="2" width="10" bestFit="1" customWidth="1"/>
    <col min="3" max="3" width="12.85546875" bestFit="1" customWidth="1"/>
    <col min="4" max="4" width="28.28515625" bestFit="1" customWidth="1"/>
    <col min="5" max="5" width="40.42578125" bestFit="1" customWidth="1"/>
  </cols>
  <sheetData>
    <row r="64" spans="1:1" ht="14.25" x14ac:dyDescent="0.2">
      <c r="A64" s="33"/>
    </row>
    <row r="65" spans="1:6" ht="28.5" x14ac:dyDescent="0.2">
      <c r="A65" s="44" t="s">
        <v>252</v>
      </c>
    </row>
    <row r="66" spans="1:6" ht="15" thickBot="1" x14ac:dyDescent="0.25">
      <c r="A66" s="33"/>
    </row>
    <row r="67" spans="1:6" x14ac:dyDescent="0.2">
      <c r="A67" s="582" t="s">
        <v>253</v>
      </c>
      <c r="B67" s="582" t="s">
        <v>254</v>
      </c>
      <c r="C67" s="34" t="s">
        <v>255</v>
      </c>
      <c r="D67" s="582" t="s">
        <v>257</v>
      </c>
      <c r="E67" s="582" t="s">
        <v>258</v>
      </c>
      <c r="F67" s="583"/>
    </row>
    <row r="68" spans="1:6" ht="13.5" thickBot="1" x14ac:dyDescent="0.25">
      <c r="A68" s="584"/>
      <c r="B68" s="584"/>
      <c r="C68" s="35" t="s">
        <v>256</v>
      </c>
      <c r="D68" s="584"/>
      <c r="E68" s="584"/>
      <c r="F68" s="583"/>
    </row>
    <row r="69" spans="1:6" x14ac:dyDescent="0.2">
      <c r="A69" s="582" t="s">
        <v>259</v>
      </c>
      <c r="B69" s="582" t="s">
        <v>260</v>
      </c>
      <c r="C69" s="582" t="s">
        <v>259</v>
      </c>
      <c r="D69" s="37" t="s">
        <v>261</v>
      </c>
      <c r="E69" s="582" t="s">
        <v>262</v>
      </c>
      <c r="F69" s="36"/>
    </row>
    <row r="70" spans="1:6" ht="13.5" thickBot="1" x14ac:dyDescent="0.25">
      <c r="A70" s="580"/>
      <c r="B70" s="580"/>
      <c r="C70" s="580"/>
      <c r="D70" s="38" t="s">
        <v>263</v>
      </c>
      <c r="E70" s="580"/>
      <c r="F70" s="36"/>
    </row>
    <row r="71" spans="1:6" x14ac:dyDescent="0.2">
      <c r="A71" s="579" t="s">
        <v>264</v>
      </c>
      <c r="B71" s="579" t="s">
        <v>260</v>
      </c>
      <c r="C71" s="579" t="s">
        <v>259</v>
      </c>
      <c r="D71" s="37" t="s">
        <v>261</v>
      </c>
      <c r="E71" s="579" t="s">
        <v>265</v>
      </c>
      <c r="F71" s="36"/>
    </row>
    <row r="72" spans="1:6" ht="13.5" thickBot="1" x14ac:dyDescent="0.25">
      <c r="A72" s="580"/>
      <c r="B72" s="580"/>
      <c r="C72" s="580"/>
      <c r="D72" s="38" t="s">
        <v>263</v>
      </c>
      <c r="E72" s="580"/>
      <c r="F72" s="36"/>
    </row>
    <row r="73" spans="1:6" x14ac:dyDescent="0.2">
      <c r="A73" s="579" t="s">
        <v>266</v>
      </c>
      <c r="B73" s="579" t="s">
        <v>267</v>
      </c>
      <c r="C73" s="579" t="s">
        <v>268</v>
      </c>
      <c r="D73" s="39" t="s">
        <v>269</v>
      </c>
      <c r="E73" s="579" t="s">
        <v>265</v>
      </c>
      <c r="F73" s="36"/>
    </row>
    <row r="74" spans="1:6" ht="13.5" thickBot="1" x14ac:dyDescent="0.25">
      <c r="A74" s="580"/>
      <c r="B74" s="580"/>
      <c r="C74" s="580"/>
      <c r="D74" s="40" t="s">
        <v>270</v>
      </c>
      <c r="E74" s="580"/>
      <c r="F74" s="36"/>
    </row>
    <row r="75" spans="1:6" x14ac:dyDescent="0.2">
      <c r="A75" s="579" t="s">
        <v>271</v>
      </c>
      <c r="B75" s="579" t="s">
        <v>272</v>
      </c>
      <c r="C75" s="579" t="s">
        <v>268</v>
      </c>
      <c r="D75" s="39" t="s">
        <v>269</v>
      </c>
      <c r="E75" s="579" t="s">
        <v>265</v>
      </c>
      <c r="F75" s="36"/>
    </row>
    <row r="76" spans="1:6" ht="13.5" thickBot="1" x14ac:dyDescent="0.25">
      <c r="A76" s="580"/>
      <c r="B76" s="580"/>
      <c r="C76" s="580"/>
      <c r="D76" s="40" t="s">
        <v>270</v>
      </c>
      <c r="E76" s="580"/>
      <c r="F76" s="36"/>
    </row>
    <row r="77" spans="1:6" x14ac:dyDescent="0.2">
      <c r="A77" s="579" t="s">
        <v>273</v>
      </c>
      <c r="B77" s="579" t="s">
        <v>260</v>
      </c>
      <c r="C77" s="579" t="s">
        <v>268</v>
      </c>
      <c r="D77" s="39" t="s">
        <v>269</v>
      </c>
      <c r="E77" s="579" t="s">
        <v>265</v>
      </c>
      <c r="F77" s="36"/>
    </row>
    <row r="78" spans="1:6" ht="13.5" thickBot="1" x14ac:dyDescent="0.25">
      <c r="A78" s="580"/>
      <c r="B78" s="580"/>
      <c r="C78" s="580"/>
      <c r="D78" s="40" t="s">
        <v>270</v>
      </c>
      <c r="E78" s="580"/>
      <c r="F78" s="36"/>
    </row>
    <row r="79" spans="1:6" ht="13.5" thickBot="1" x14ac:dyDescent="0.25">
      <c r="A79" s="579" t="s">
        <v>274</v>
      </c>
      <c r="B79" s="579" t="s">
        <v>275</v>
      </c>
      <c r="C79" s="579" t="s">
        <v>276</v>
      </c>
      <c r="D79" s="579" t="s">
        <v>277</v>
      </c>
      <c r="E79" s="38" t="s">
        <v>278</v>
      </c>
      <c r="F79" s="36"/>
    </row>
    <row r="80" spans="1:6" ht="13.5" thickBot="1" x14ac:dyDescent="0.25">
      <c r="A80" s="580"/>
      <c r="B80" s="580"/>
      <c r="C80" s="580"/>
      <c r="D80" s="580"/>
      <c r="E80" s="38" t="s">
        <v>279</v>
      </c>
      <c r="F80" s="36"/>
    </row>
    <row r="81" spans="1:6" x14ac:dyDescent="0.2">
      <c r="A81" s="579" t="s">
        <v>280</v>
      </c>
      <c r="B81" s="579" t="s">
        <v>281</v>
      </c>
      <c r="C81" s="579" t="s">
        <v>276</v>
      </c>
      <c r="D81" s="37" t="s">
        <v>282</v>
      </c>
      <c r="E81" s="582" t="s">
        <v>283</v>
      </c>
      <c r="F81" s="36"/>
    </row>
    <row r="82" spans="1:6" ht="13.5" thickBot="1" x14ac:dyDescent="0.25">
      <c r="A82" s="580"/>
      <c r="B82" s="580"/>
      <c r="C82" s="580"/>
      <c r="D82" s="38" t="s">
        <v>284</v>
      </c>
      <c r="E82" s="580"/>
      <c r="F82" s="36"/>
    </row>
    <row r="83" spans="1:6" ht="13.5" thickBot="1" x14ac:dyDescent="0.25">
      <c r="A83" s="579" t="s">
        <v>285</v>
      </c>
      <c r="B83" s="579" t="s">
        <v>286</v>
      </c>
      <c r="C83" s="579" t="s">
        <v>268</v>
      </c>
      <c r="D83" s="582" t="s">
        <v>287</v>
      </c>
      <c r="E83" s="38" t="s">
        <v>288</v>
      </c>
      <c r="F83" s="36"/>
    </row>
    <row r="84" spans="1:6" ht="13.5" thickBot="1" x14ac:dyDescent="0.25">
      <c r="A84" s="580"/>
      <c r="B84" s="580"/>
      <c r="C84" s="580"/>
      <c r="D84" s="580"/>
      <c r="E84" s="38" t="s">
        <v>289</v>
      </c>
      <c r="F84" s="36"/>
    </row>
    <row r="85" spans="1:6" ht="13.5" thickBot="1" x14ac:dyDescent="0.25">
      <c r="A85" s="579" t="s">
        <v>290</v>
      </c>
      <c r="B85" s="579" t="s">
        <v>291</v>
      </c>
      <c r="C85" s="579" t="s">
        <v>268</v>
      </c>
      <c r="D85" s="579" t="s">
        <v>287</v>
      </c>
      <c r="E85" s="38" t="s">
        <v>288</v>
      </c>
      <c r="F85" s="36"/>
    </row>
    <row r="86" spans="1:6" ht="13.5" thickBot="1" x14ac:dyDescent="0.25">
      <c r="A86" s="580"/>
      <c r="B86" s="580"/>
      <c r="C86" s="580"/>
      <c r="D86" s="580"/>
      <c r="E86" s="38" t="s">
        <v>292</v>
      </c>
      <c r="F86" s="36"/>
    </row>
    <row r="87" spans="1:6" x14ac:dyDescent="0.2">
      <c r="A87" s="579" t="s">
        <v>293</v>
      </c>
      <c r="B87" s="579" t="s">
        <v>260</v>
      </c>
      <c r="C87" s="579" t="s">
        <v>268</v>
      </c>
      <c r="D87" s="579" t="s">
        <v>287</v>
      </c>
      <c r="E87" s="582" t="s">
        <v>294</v>
      </c>
      <c r="F87" s="36"/>
    </row>
    <row r="88" spans="1:6" ht="13.5" thickBot="1" x14ac:dyDescent="0.25">
      <c r="A88" s="580"/>
      <c r="B88" s="580"/>
      <c r="C88" s="580"/>
      <c r="D88" s="580"/>
      <c r="E88" s="580"/>
      <c r="F88" s="36"/>
    </row>
    <row r="89" spans="1:6" ht="13.5" thickBot="1" x14ac:dyDescent="0.25">
      <c r="A89" s="579" t="s">
        <v>295</v>
      </c>
      <c r="B89" s="579" t="s">
        <v>296</v>
      </c>
      <c r="C89" s="579" t="s">
        <v>268</v>
      </c>
      <c r="D89" s="579" t="s">
        <v>287</v>
      </c>
      <c r="E89" s="38" t="s">
        <v>288</v>
      </c>
      <c r="F89" s="36"/>
    </row>
    <row r="90" spans="1:6" ht="13.5" thickBot="1" x14ac:dyDescent="0.25">
      <c r="A90" s="580"/>
      <c r="B90" s="580"/>
      <c r="C90" s="580"/>
      <c r="D90" s="580"/>
      <c r="E90" s="38" t="s">
        <v>297</v>
      </c>
      <c r="F90" s="36"/>
    </row>
    <row r="91" spans="1:6" ht="23.25" thickBot="1" x14ac:dyDescent="0.25">
      <c r="A91" s="41" t="s">
        <v>298</v>
      </c>
      <c r="B91" s="38" t="s">
        <v>299</v>
      </c>
      <c r="C91" s="579" t="s">
        <v>300</v>
      </c>
      <c r="D91" s="39" t="s">
        <v>301</v>
      </c>
      <c r="E91" s="39" t="s">
        <v>303</v>
      </c>
      <c r="F91" s="36"/>
    </row>
    <row r="92" spans="1:6" ht="23.25" thickBot="1" x14ac:dyDescent="0.25">
      <c r="A92" s="41" t="s">
        <v>305</v>
      </c>
      <c r="B92" s="38" t="s">
        <v>306</v>
      </c>
      <c r="C92" s="581"/>
      <c r="D92" s="39" t="s">
        <v>302</v>
      </c>
      <c r="E92" s="39" t="s">
        <v>304</v>
      </c>
      <c r="F92" s="36"/>
    </row>
    <row r="93" spans="1:6" ht="13.5" thickBot="1" x14ac:dyDescent="0.25">
      <c r="A93" s="41" t="s">
        <v>307</v>
      </c>
      <c r="B93" s="38" t="s">
        <v>308</v>
      </c>
      <c r="C93" s="581"/>
      <c r="D93" s="42"/>
      <c r="E93" s="42"/>
      <c r="F93" s="36"/>
    </row>
    <row r="94" spans="1:6" ht="13.5" thickBot="1" x14ac:dyDescent="0.25">
      <c r="A94" s="41" t="s">
        <v>309</v>
      </c>
      <c r="B94" s="38" t="s">
        <v>310</v>
      </c>
      <c r="C94" s="580"/>
      <c r="D94" s="43"/>
      <c r="E94" s="43"/>
      <c r="F94" s="36"/>
    </row>
    <row r="95" spans="1:6" ht="15.75" x14ac:dyDescent="0.25">
      <c r="A95" s="32"/>
    </row>
  </sheetData>
  <mergeCells count="51">
    <mergeCell ref="F67:F68"/>
    <mergeCell ref="A71:A72"/>
    <mergeCell ref="B71:B72"/>
    <mergeCell ref="C71:C72"/>
    <mergeCell ref="E71:E72"/>
    <mergeCell ref="A69:A70"/>
    <mergeCell ref="B69:B70"/>
    <mergeCell ref="C69:C70"/>
    <mergeCell ref="E69:E70"/>
    <mergeCell ref="A67:A68"/>
    <mergeCell ref="B67:B68"/>
    <mergeCell ref="D67:D68"/>
    <mergeCell ref="E67:E68"/>
    <mergeCell ref="A73:A74"/>
    <mergeCell ref="B73:B74"/>
    <mergeCell ref="C73:C74"/>
    <mergeCell ref="E73:E74"/>
    <mergeCell ref="A75:A76"/>
    <mergeCell ref="B75:B76"/>
    <mergeCell ref="C75:C76"/>
    <mergeCell ref="E75:E76"/>
    <mergeCell ref="A77:A78"/>
    <mergeCell ref="B77:B78"/>
    <mergeCell ref="C77:C78"/>
    <mergeCell ref="E77:E78"/>
    <mergeCell ref="A85:A86"/>
    <mergeCell ref="B85:B86"/>
    <mergeCell ref="C85:C86"/>
    <mergeCell ref="D85:D86"/>
    <mergeCell ref="A79:A80"/>
    <mergeCell ref="B79:B80"/>
    <mergeCell ref="C79:C80"/>
    <mergeCell ref="D79:D80"/>
    <mergeCell ref="A81:A82"/>
    <mergeCell ref="B81:B82"/>
    <mergeCell ref="C81:C82"/>
    <mergeCell ref="E81:E82"/>
    <mergeCell ref="A83:A84"/>
    <mergeCell ref="B83:B84"/>
    <mergeCell ref="C83:C84"/>
    <mergeCell ref="D83:D84"/>
    <mergeCell ref="E87:E88"/>
    <mergeCell ref="A87:A88"/>
    <mergeCell ref="B87:B88"/>
    <mergeCell ref="C87:C88"/>
    <mergeCell ref="D87:D88"/>
    <mergeCell ref="A89:A90"/>
    <mergeCell ref="B89:B90"/>
    <mergeCell ref="C89:C90"/>
    <mergeCell ref="D89:D90"/>
    <mergeCell ref="C91:C94"/>
  </mergeCells>
  <pageMargins left="0.7" right="0.7" top="0.75" bottom="0.75" header="0.3" footer="0.3"/>
  <pageSetup paperSize="9" scale="58" orientation="portrait"/>
  <headerFooter>
    <oddHeader>&amp;C&amp;F&amp;R&amp;D</oddHeader>
    <oddFooter>&amp;C&amp;A&amp;R&amp;P of &amp;N</oddFooter>
  </headerFooter>
  <drawing r:id="rId1"/>
  <legacyDrawing r:id="rId2"/>
  <oleObjects>
    <mc:AlternateContent xmlns:mc="http://schemas.openxmlformats.org/markup-compatibility/2006">
      <mc:Choice Requires="x14">
        <oleObject progId="Word.Document.12" shapeId="2050" r:id="rId3">
          <objectPr defaultSize="0" r:id="rId4">
            <anchor moveWithCells="1">
              <from>
                <xdr:col>0</xdr:col>
                <xdr:colOff>0</xdr:colOff>
                <xdr:row>0</xdr:row>
                <xdr:rowOff>0</xdr:rowOff>
              </from>
              <to>
                <xdr:col>6</xdr:col>
                <xdr:colOff>447675</xdr:colOff>
                <xdr:row>36</xdr:row>
                <xdr:rowOff>9525</xdr:rowOff>
              </to>
            </anchor>
          </objectPr>
        </oleObject>
      </mc:Choice>
      <mc:Fallback>
        <oleObject progId="Word.Document.12" shapeId="2050" r:id="rId3"/>
      </mc:Fallback>
    </mc:AlternateContent>
  </oleObject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5"/>
  <sheetViews>
    <sheetView showGridLines="0" zoomScaleSheetLayoutView="85" workbookViewId="0">
      <selection activeCell="O37" sqref="O37"/>
    </sheetView>
  </sheetViews>
  <sheetFormatPr defaultColWidth="9.140625" defaultRowHeight="12.75" x14ac:dyDescent="0.2"/>
  <sheetData>
    <row r="1" spans="1:13" ht="45" customHeight="1" x14ac:dyDescent="0.25">
      <c r="A1" s="585" t="s">
        <v>138</v>
      </c>
      <c r="B1" s="585"/>
      <c r="C1" s="585"/>
      <c r="D1" s="585"/>
      <c r="E1" s="585"/>
      <c r="F1" s="585"/>
      <c r="G1" s="585"/>
      <c r="H1" s="585"/>
      <c r="I1" s="585"/>
      <c r="J1" s="585"/>
      <c r="K1" s="585"/>
      <c r="L1" s="585"/>
      <c r="M1" s="585"/>
    </row>
    <row r="3" spans="1:13" x14ac:dyDescent="0.2">
      <c r="A3" s="25" t="s">
        <v>139</v>
      </c>
    </row>
    <row r="4" spans="1:13" x14ac:dyDescent="0.2">
      <c r="A4" s="25"/>
    </row>
    <row r="5" spans="1:13" x14ac:dyDescent="0.2">
      <c r="A5" t="s">
        <v>140</v>
      </c>
    </row>
    <row r="6" spans="1:13" x14ac:dyDescent="0.2">
      <c r="A6" s="24" t="s">
        <v>142</v>
      </c>
    </row>
    <row r="7" spans="1:13" x14ac:dyDescent="0.2">
      <c r="A7" s="24" t="s">
        <v>143</v>
      </c>
    </row>
    <row r="8" spans="1:13" x14ac:dyDescent="0.2">
      <c r="A8" s="24" t="s">
        <v>144</v>
      </c>
    </row>
    <row r="9" spans="1:13" x14ac:dyDescent="0.2">
      <c r="A9" t="s">
        <v>141</v>
      </c>
    </row>
    <row r="10" spans="1:13" x14ac:dyDescent="0.2">
      <c r="A10" s="24" t="s">
        <v>145</v>
      </c>
    </row>
    <row r="11" spans="1:13" x14ac:dyDescent="0.2">
      <c r="A11" s="24" t="s">
        <v>146</v>
      </c>
    </row>
    <row r="13" spans="1:13" x14ac:dyDescent="0.2">
      <c r="A13" s="24" t="s">
        <v>147</v>
      </c>
    </row>
    <row r="15" spans="1:13" x14ac:dyDescent="0.2">
      <c r="A15" s="16" t="s">
        <v>148</v>
      </c>
    </row>
  </sheetData>
  <mergeCells count="1">
    <mergeCell ref="A1:M1"/>
  </mergeCells>
  <phoneticPr fontId="0" type="noConversion"/>
  <pageMargins left="0.7" right="0.7" top="0.75" bottom="0.75" header="0.3" footer="0.3"/>
  <pageSetup scale="89" orientation="landscape" horizontalDpi="300" verticalDpi="300"/>
  <headerFooter>
    <oddHeader>&amp;C&amp;F&amp;R&amp;D</oddHeader>
    <oddFooter>&amp;C&amp;A&amp;R&amp;P of &amp;N</oddFooter>
  </headerFooter>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B26983F8F9C743AE616417680F57C0" ma:contentTypeVersion="6" ma:contentTypeDescription="Create a new document." ma:contentTypeScope="" ma:versionID="c2d72cab1e2e74f946f782579bf00ee2">
  <xsd:schema xmlns:xsd="http://www.w3.org/2001/XMLSchema" xmlns:xs="http://www.w3.org/2001/XMLSchema" xmlns:p="http://schemas.microsoft.com/office/2006/metadata/properties" xmlns:ns2="9e451eba-055b-47be-b67f-9521fed342cc" xmlns:ns3="669b2fa6-4ca3-4b6a-8a13-e3bb70998a7d" targetNamespace="http://schemas.microsoft.com/office/2006/metadata/properties" ma:root="true" ma:fieldsID="f56450221c726c9c189c7c91896aee17" ns2:_="" ns3:_="">
    <xsd:import namespace="9e451eba-055b-47be-b67f-9521fed342cc"/>
    <xsd:import namespace="669b2fa6-4ca3-4b6a-8a13-e3bb70998a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451eba-055b-47be-b67f-9521fed342c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9b2fa6-4ca3-4b6a-8a13-e3bb70998a7d"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82F844-8FEB-436B-A16C-F170D48CA821}">
  <ds:schemaRefs>
    <ds:schemaRef ds:uri="http://schemas.microsoft.com/sharepoint/v3/contenttype/forms"/>
  </ds:schemaRefs>
</ds:datastoreItem>
</file>

<file path=customXml/itemProps2.xml><?xml version="1.0" encoding="utf-8"?>
<ds:datastoreItem xmlns:ds="http://schemas.openxmlformats.org/officeDocument/2006/customXml" ds:itemID="{3917BD44-E0D1-4245-B620-5AD378A719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451eba-055b-47be-b67f-9521fed342cc"/>
    <ds:schemaRef ds:uri="669b2fa6-4ca3-4b6a-8a13-e3bb70998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D7D6AE-6238-4689-84E6-4408F87EA69B}">
  <ds:schemaRefs>
    <ds:schemaRef ds:uri="http://purl.org/dc/terms/"/>
    <ds:schemaRef ds:uri="9e451eba-055b-47be-b67f-9521fed342cc"/>
    <ds:schemaRef ds:uri="http://purl.org/dc/dcmitype/"/>
    <ds:schemaRef ds:uri="http://www.w3.org/XML/1998/namespace"/>
    <ds:schemaRef ds:uri="669b2fa6-4ca3-4b6a-8a13-e3bb70998a7d"/>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49</vt:i4>
      </vt:variant>
    </vt:vector>
  </HeadingPairs>
  <TitlesOfParts>
    <vt:vector size="57" baseType="lpstr">
      <vt:lpstr>IPDS Instructions</vt:lpstr>
      <vt:lpstr>1-Import Product Data Sheet</vt:lpstr>
      <vt:lpstr>2-Article Cost Breakdown</vt:lpstr>
      <vt:lpstr>3-Combo Article Breakdown</vt:lpstr>
      <vt:lpstr>4-Features &amp; Benefits</vt:lpstr>
      <vt:lpstr>5-Food</vt:lpstr>
      <vt:lpstr>6-Food Labeling Guide</vt:lpstr>
      <vt:lpstr>7-PDQ Instructions</vt:lpstr>
      <vt:lpstr>Brand</vt:lpstr>
      <vt:lpstr>Brand_Vend_List</vt:lpstr>
      <vt:lpstr>Brand_Vend_Value</vt:lpstr>
      <vt:lpstr>Carton_Cube</vt:lpstr>
      <vt:lpstr>CFSRate</vt:lpstr>
      <vt:lpstr>Combo</vt:lpstr>
      <vt:lpstr>Conv_Ratio</vt:lpstr>
      <vt:lpstr>Curr_Selected</vt:lpstr>
      <vt:lpstr>Currency</vt:lpstr>
      <vt:lpstr>DCL20Rate</vt:lpstr>
      <vt:lpstr>DCL40Rate</vt:lpstr>
      <vt:lpstr>Dept_Num</vt:lpstr>
      <vt:lpstr>DeptExcept</vt:lpstr>
      <vt:lpstr>DeptExcepts</vt:lpstr>
      <vt:lpstr>DeptExceptsTF</vt:lpstr>
      <vt:lpstr>DetDesc</vt:lpstr>
      <vt:lpstr>DetDesc1</vt:lpstr>
      <vt:lpstr>Disc_Frt_Rate</vt:lpstr>
      <vt:lpstr>FCL20Rate</vt:lpstr>
      <vt:lpstr>FCL40Rate</vt:lpstr>
      <vt:lpstr>FOBCostPerPiece</vt:lpstr>
      <vt:lpstr>FoodImpact</vt:lpstr>
      <vt:lpstr>FoodRate</vt:lpstr>
      <vt:lpstr>FoodSeq</vt:lpstr>
      <vt:lpstr>Freight_Rate</vt:lpstr>
      <vt:lpstr>FreightRatePerCFT</vt:lpstr>
      <vt:lpstr>Innr_Pk</vt:lpstr>
      <vt:lpstr>Mstr_Pk</vt:lpstr>
      <vt:lpstr>Mstr_Wt_kg</vt:lpstr>
      <vt:lpstr>Mstr_Wt_lb</vt:lpstr>
      <vt:lpstr>PackageType</vt:lpstr>
      <vt:lpstr>Pallet_Ship</vt:lpstr>
      <vt:lpstr>PalletsPerContainer</vt:lpstr>
      <vt:lpstr>Payment_Terms</vt:lpstr>
      <vt:lpstr>PDQList</vt:lpstr>
      <vt:lpstr>PiecesPerPallet</vt:lpstr>
      <vt:lpstr>Port</vt:lpstr>
      <vt:lpstr>PortSeq</vt:lpstr>
      <vt:lpstr>PrevBuy</vt:lpstr>
      <vt:lpstr>'1-Import Product Data Sheet'!Print_Area</vt:lpstr>
      <vt:lpstr>Rate_Table</vt:lpstr>
      <vt:lpstr>Rate_Type</vt:lpstr>
      <vt:lpstr>RateSeq</vt:lpstr>
      <vt:lpstr>ReeferDCL40Rate</vt:lpstr>
      <vt:lpstr>ReeferDirect40Rate</vt:lpstr>
      <vt:lpstr>Region</vt:lpstr>
      <vt:lpstr>RevFreightPerCFT</vt:lpstr>
      <vt:lpstr>Vendor_Num</vt:lpstr>
      <vt:lpstr>Yes_No</vt:lpstr>
    </vt:vector>
  </TitlesOfParts>
  <Company>Big Lots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Curley, David</dc:creator>
  <cp:lastModifiedBy>Parker, Jameson</cp:lastModifiedBy>
  <cp:lastPrinted>2017-09-18T19:15:46Z</cp:lastPrinted>
  <dcterms:created xsi:type="dcterms:W3CDTF">2012-08-20T12:05:21Z</dcterms:created>
  <dcterms:modified xsi:type="dcterms:W3CDTF">2018-02-22T13:48:09Z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0x01010081B26983F8F9C743AE616417680F57C0</vt:lpwstr>
  </property>
</Properties>
</file>